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Fiscal\MGadd\Audit\Citizens Guide and Dashboard\"/>
    </mc:Choice>
  </mc:AlternateContent>
  <workbookProtection workbookAlgorithmName="SHA-512" workbookHashValue="qFTo1vDSSb1UtoUhgikMYqUruu6PX6KfQSNtS4BbrQAvtk+/c4F60hiYScCe+tZEwXDFuMf38rPC0GAsvRr2ww==" workbookSaltValue="9+eHW32cFXwe85IhVVqNdw==" workbookSpinCount="100000" lockStructure="1"/>
  <bookViews>
    <workbookView xWindow="0" yWindow="0" windowWidth="15768" windowHeight="4200" firstSheet="1" activeTab="1"/>
  </bookViews>
  <sheets>
    <sheet name="Data Input" sheetId="1" state="hidden" r:id="rId1"/>
    <sheet name="Revenues" sheetId="2" r:id="rId2"/>
    <sheet name="Expenditures" sheetId="3" r:id="rId3"/>
    <sheet name="Position" sheetId="4" r:id="rId4"/>
    <sheet name="Obligations" sheetId="5" r:id="rId5"/>
    <sheet name="F-65 Cross-walk" sheetId="6" state="hidden" r:id="rId6"/>
  </sheets>
  <externalReferences>
    <externalReference r:id="rId7"/>
  </externalReferences>
  <definedNames>
    <definedName name="_xlnm.Print_Area" localSheetId="0">'Data Input'!$A$1:$H$70</definedName>
    <definedName name="_xlnm.Print_Area" localSheetId="2">Expenditures!$A$1:$N$40</definedName>
    <definedName name="_xlnm.Print_Area" localSheetId="5">'F-65 Cross-walk'!$A:$H</definedName>
    <definedName name="_xlnm.Print_Area" localSheetId="4">Obligations!$A$1:$W$38</definedName>
    <definedName name="_xlnm.Print_Area" localSheetId="3">Position!$A$1:$O$36</definedName>
    <definedName name="_xlnm.Print_Area" localSheetId="1">Revenues!$A$1:$N$36</definedName>
    <definedName name="_xlnm.Print_Titles" localSheetId="0">'Data Input'!$1:$3</definedName>
    <definedName name="_xlnm.Print_Titles" localSheetId="5">'F-65 Cross-walk'!$1:$1</definedName>
  </definedNames>
  <calcPr calcId="152511"/>
</workbook>
</file>

<file path=xl/calcChain.xml><?xml version="1.0" encoding="utf-8"?>
<calcChain xmlns="http://schemas.openxmlformats.org/spreadsheetml/2006/main">
  <c r="C25" i="5" l="1"/>
  <c r="D25" i="5"/>
  <c r="E25" i="5"/>
  <c r="F25" i="5"/>
  <c r="G25" i="5"/>
  <c r="C24" i="5"/>
  <c r="D24" i="5"/>
  <c r="E24" i="5"/>
  <c r="F24" i="5"/>
  <c r="G24" i="5"/>
  <c r="C23" i="5"/>
  <c r="D23" i="5"/>
  <c r="E23" i="5"/>
  <c r="F23" i="5"/>
  <c r="G23" i="5"/>
  <c r="C22" i="5"/>
  <c r="D22" i="5"/>
  <c r="E22" i="5"/>
  <c r="F22" i="5"/>
  <c r="G22" i="5"/>
  <c r="C21" i="5"/>
  <c r="D21" i="5"/>
  <c r="E21" i="5"/>
  <c r="F21" i="5"/>
  <c r="G21" i="5"/>
  <c r="C20" i="5"/>
  <c r="D20" i="5"/>
  <c r="E20" i="5"/>
  <c r="F20" i="5"/>
  <c r="G20" i="5"/>
  <c r="U7" i="5"/>
  <c r="V7" i="5"/>
  <c r="V6" i="5"/>
  <c r="U6" i="5"/>
  <c r="U5" i="5"/>
  <c r="V5" i="5"/>
  <c r="U4" i="5"/>
  <c r="V4" i="5"/>
  <c r="L6" i="5"/>
  <c r="M6" i="5"/>
  <c r="N6" i="5"/>
  <c r="O6" i="5"/>
  <c r="P6" i="5"/>
  <c r="N5" i="5"/>
  <c r="P5" i="5"/>
  <c r="O5" i="5"/>
  <c r="M5" i="5"/>
  <c r="L5" i="5"/>
  <c r="P4" i="5"/>
  <c r="O4" i="5"/>
  <c r="N4" i="5"/>
  <c r="M4" i="5"/>
  <c r="L4" i="5"/>
  <c r="G6" i="5"/>
  <c r="F6" i="5"/>
  <c r="E6" i="5"/>
  <c r="D6" i="5"/>
  <c r="C6" i="5"/>
  <c r="G5" i="5"/>
  <c r="F5" i="5"/>
  <c r="E5" i="5"/>
  <c r="D5" i="5"/>
  <c r="C5" i="5"/>
  <c r="G4" i="5"/>
  <c r="F4" i="5"/>
  <c r="E4" i="5"/>
  <c r="D4" i="5"/>
  <c r="C4" i="5"/>
  <c r="N24" i="4"/>
  <c r="M24" i="4"/>
  <c r="L24" i="4"/>
  <c r="K24" i="4"/>
  <c r="J24" i="4"/>
  <c r="N23" i="4"/>
  <c r="M23" i="4"/>
  <c r="L23" i="4"/>
  <c r="K23" i="4"/>
  <c r="J23" i="4"/>
  <c r="N22" i="4"/>
  <c r="M22" i="4"/>
  <c r="L22" i="4"/>
  <c r="K22" i="4"/>
  <c r="J22" i="4"/>
  <c r="N21" i="4"/>
  <c r="M21" i="4"/>
  <c r="L21" i="4"/>
  <c r="K21" i="4"/>
  <c r="J21" i="4"/>
  <c r="N20" i="4"/>
  <c r="M20" i="4"/>
  <c r="L20" i="4"/>
  <c r="K20" i="4"/>
  <c r="J20" i="4"/>
  <c r="N19" i="4"/>
  <c r="M19" i="4"/>
  <c r="L19" i="4"/>
  <c r="K19" i="4"/>
  <c r="J19" i="4"/>
  <c r="K15" i="4"/>
  <c r="K14" i="4"/>
  <c r="K13" i="4"/>
  <c r="K12" i="4"/>
  <c r="K11" i="4"/>
  <c r="K10" i="4"/>
  <c r="L15" i="4"/>
  <c r="L14" i="4"/>
  <c r="L13" i="4"/>
  <c r="L12" i="4"/>
  <c r="L11" i="4"/>
  <c r="L10" i="4"/>
  <c r="L9" i="4"/>
  <c r="K7" i="4"/>
  <c r="K6" i="4"/>
  <c r="L7" i="4"/>
  <c r="L6" i="4"/>
  <c r="L5" i="4"/>
  <c r="L4" i="4"/>
  <c r="F7" i="4"/>
  <c r="E7" i="4"/>
  <c r="D7" i="4"/>
  <c r="C7" i="4"/>
  <c r="B7" i="4"/>
  <c r="F6" i="4"/>
  <c r="E6" i="4"/>
  <c r="D6" i="4"/>
  <c r="C6" i="4"/>
  <c r="B6" i="4"/>
  <c r="F5" i="4"/>
  <c r="E5" i="4"/>
  <c r="D5" i="4"/>
  <c r="C5" i="4"/>
  <c r="B5" i="4"/>
  <c r="F4" i="4"/>
  <c r="E4" i="4"/>
  <c r="D4" i="4"/>
  <c r="C4" i="4"/>
  <c r="B4" i="4"/>
  <c r="M35" i="3"/>
  <c r="M34" i="3"/>
  <c r="M33" i="3"/>
  <c r="M32" i="3"/>
  <c r="M31" i="3"/>
  <c r="M30" i="3"/>
  <c r="M29" i="3"/>
  <c r="M28" i="3"/>
  <c r="M27" i="3"/>
  <c r="M26" i="3"/>
  <c r="M25" i="3"/>
  <c r="L35" i="3"/>
  <c r="L34" i="3"/>
  <c r="L33" i="3"/>
  <c r="L32" i="3"/>
  <c r="L31" i="3"/>
  <c r="L30" i="3"/>
  <c r="L29" i="3"/>
  <c r="L28" i="3"/>
  <c r="L27" i="3"/>
  <c r="L26" i="3"/>
  <c r="L25" i="3"/>
  <c r="K35" i="3"/>
  <c r="K34" i="3"/>
  <c r="K33" i="3"/>
  <c r="K32" i="3"/>
  <c r="K31" i="3"/>
  <c r="K30" i="3"/>
  <c r="K29" i="3"/>
  <c r="K28" i="3"/>
  <c r="K27" i="3"/>
  <c r="K26" i="3"/>
  <c r="K25" i="3"/>
  <c r="J35" i="3"/>
  <c r="J34" i="3"/>
  <c r="J33" i="3"/>
  <c r="J32" i="3"/>
  <c r="J31" i="3"/>
  <c r="J30" i="3"/>
  <c r="J29" i="3"/>
  <c r="J28" i="3"/>
  <c r="J27" i="3"/>
  <c r="J26" i="3"/>
  <c r="J25" i="3"/>
  <c r="I35" i="3"/>
  <c r="I34" i="3"/>
  <c r="I33" i="3"/>
  <c r="I32" i="3"/>
  <c r="I31" i="3"/>
  <c r="I30" i="3"/>
  <c r="I29" i="3"/>
  <c r="I28" i="3"/>
  <c r="I27" i="3"/>
  <c r="I26" i="3"/>
  <c r="I25" i="3"/>
  <c r="M24" i="3"/>
  <c r="L24" i="3"/>
  <c r="K24" i="3"/>
  <c r="J24" i="3"/>
  <c r="I24" i="3"/>
  <c r="J15" i="3"/>
  <c r="J14" i="3"/>
  <c r="J13" i="3"/>
  <c r="J12" i="3"/>
  <c r="J11" i="3"/>
  <c r="J10" i="3"/>
  <c r="J9" i="3"/>
  <c r="J8" i="3"/>
  <c r="J7" i="3"/>
  <c r="J6" i="3"/>
  <c r="J5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M30" i="2" l="1"/>
  <c r="L30" i="2"/>
  <c r="K30" i="2"/>
  <c r="J30" i="2"/>
  <c r="M29" i="2"/>
  <c r="L29" i="2"/>
  <c r="K29" i="2"/>
  <c r="J29" i="2"/>
  <c r="M28" i="2"/>
  <c r="L28" i="2"/>
  <c r="K28" i="2"/>
  <c r="J28" i="2"/>
  <c r="M27" i="2"/>
  <c r="L27" i="2"/>
  <c r="K27" i="2"/>
  <c r="J27" i="2"/>
  <c r="M26" i="2"/>
  <c r="L26" i="2"/>
  <c r="K26" i="2"/>
  <c r="J26" i="2"/>
  <c r="M25" i="2"/>
  <c r="L25" i="2"/>
  <c r="K25" i="2"/>
  <c r="J25" i="2"/>
  <c r="M24" i="2"/>
  <c r="L24" i="2"/>
  <c r="K24" i="2"/>
  <c r="J24" i="2"/>
  <c r="M23" i="2"/>
  <c r="L23" i="2"/>
  <c r="K23" i="2"/>
  <c r="J23" i="2"/>
  <c r="M22" i="2"/>
  <c r="L22" i="2"/>
  <c r="K22" i="2"/>
  <c r="J22" i="2"/>
  <c r="I22" i="2"/>
  <c r="I30" i="2"/>
  <c r="I29" i="2"/>
  <c r="I28" i="2"/>
  <c r="I27" i="2"/>
  <c r="I26" i="2"/>
  <c r="I25" i="2"/>
  <c r="I24" i="2"/>
  <c r="I23" i="2"/>
  <c r="M21" i="2"/>
  <c r="L21" i="2"/>
  <c r="K21" i="2"/>
  <c r="J21" i="2"/>
  <c r="I21" i="2"/>
  <c r="J15" i="2" l="1"/>
  <c r="J14" i="2"/>
  <c r="J13" i="2"/>
  <c r="J12" i="2"/>
  <c r="J11" i="2"/>
  <c r="J10" i="2"/>
  <c r="J9" i="2"/>
  <c r="J8" i="2"/>
  <c r="J7" i="2"/>
  <c r="J6" i="2"/>
  <c r="K14" i="2"/>
  <c r="K13" i="2"/>
  <c r="K12" i="2"/>
  <c r="K11" i="2"/>
  <c r="K10" i="2"/>
  <c r="K9" i="2"/>
  <c r="K8" i="2"/>
  <c r="K7" i="2"/>
  <c r="K6" i="2"/>
  <c r="K5" i="2"/>
  <c r="H60" i="1"/>
  <c r="H36" i="1"/>
  <c r="H35" i="1"/>
  <c r="H34" i="1"/>
  <c r="H33" i="1"/>
  <c r="H32" i="1"/>
  <c r="H31" i="1"/>
  <c r="H29" i="1"/>
  <c r="H28" i="1"/>
  <c r="H27" i="1"/>
  <c r="H25" i="1"/>
  <c r="H24" i="1"/>
  <c r="H23" i="1"/>
  <c r="H22" i="1"/>
  <c r="H21" i="1"/>
  <c r="H20" i="1"/>
  <c r="H19" i="1"/>
  <c r="H18" i="1"/>
  <c r="H17" i="1"/>
  <c r="H15" i="1"/>
  <c r="H14" i="1"/>
  <c r="H13" i="1"/>
  <c r="H12" i="1"/>
  <c r="H11" i="1"/>
  <c r="H10" i="1"/>
  <c r="H9" i="1"/>
  <c r="H8" i="1"/>
  <c r="H7" i="1"/>
  <c r="H6" i="1"/>
  <c r="F64" i="1"/>
  <c r="F52" i="1"/>
  <c r="F53" i="1" s="1"/>
  <c r="F51" i="1"/>
  <c r="F54" i="1" s="1"/>
  <c r="F49" i="1"/>
  <c r="F48" i="1"/>
  <c r="E48" i="1"/>
  <c r="F43" i="1"/>
  <c r="E43" i="1"/>
  <c r="F42" i="1"/>
  <c r="F36" i="1"/>
  <c r="F29" i="1" l="1"/>
  <c r="F28" i="1"/>
  <c r="F22" i="1"/>
  <c r="G8" i="1" l="1"/>
  <c r="F15" i="1"/>
  <c r="A38" i="5" l="1"/>
  <c r="R22" i="5"/>
  <c r="S22" i="5"/>
  <c r="A36" i="4"/>
  <c r="A40" i="3"/>
  <c r="A36" i="2"/>
  <c r="M36" i="3" l="1"/>
  <c r="E64" i="1"/>
  <c r="E52" i="1"/>
  <c r="E51" i="1"/>
  <c r="E49" i="1"/>
  <c r="E42" i="1"/>
  <c r="E54" i="1" l="1"/>
  <c r="K15" i="2"/>
  <c r="M31" i="2"/>
  <c r="E53" i="1"/>
  <c r="E36" i="1" l="1"/>
  <c r="E28" i="1"/>
  <c r="E15" i="1" l="1"/>
  <c r="E29" i="1" l="1"/>
  <c r="B3" i="1"/>
  <c r="C3" i="1"/>
  <c r="D3" i="1"/>
  <c r="B6" i="1"/>
  <c r="C6" i="1"/>
  <c r="D6" i="1"/>
  <c r="B7" i="1"/>
  <c r="C7" i="1"/>
  <c r="D7" i="1"/>
  <c r="B8" i="1"/>
  <c r="C8" i="1"/>
  <c r="D8" i="1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7" i="1"/>
  <c r="C17" i="1"/>
  <c r="D17" i="1"/>
  <c r="I36" i="3"/>
  <c r="B18" i="1"/>
  <c r="C18" i="1"/>
  <c r="K36" i="3" s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31" i="1"/>
  <c r="C31" i="1"/>
  <c r="B32" i="1"/>
  <c r="C32" i="1"/>
  <c r="B33" i="1"/>
  <c r="C33" i="1"/>
  <c r="D33" i="1"/>
  <c r="B34" i="1"/>
  <c r="C34" i="1"/>
  <c r="B35" i="1"/>
  <c r="C35" i="1"/>
  <c r="B42" i="1"/>
  <c r="C42" i="1"/>
  <c r="D42" i="1"/>
  <c r="B43" i="1"/>
  <c r="C43" i="1"/>
  <c r="D43" i="1"/>
  <c r="B48" i="1"/>
  <c r="C48" i="1"/>
  <c r="D48" i="1"/>
  <c r="B49" i="1"/>
  <c r="C49" i="1"/>
  <c r="D49" i="1"/>
  <c r="B51" i="1"/>
  <c r="C51" i="1"/>
  <c r="D51" i="1"/>
  <c r="B52" i="1"/>
  <c r="B53" i="1" s="1"/>
  <c r="C52" i="1"/>
  <c r="D52" i="1"/>
  <c r="B59" i="1"/>
  <c r="C59" i="1"/>
  <c r="D59" i="1"/>
  <c r="D64" i="1"/>
  <c r="A1" i="2"/>
  <c r="H22" i="2"/>
  <c r="I7" i="2"/>
  <c r="H23" i="2" s="1"/>
  <c r="I8" i="2"/>
  <c r="H24" i="2" s="1"/>
  <c r="I9" i="2"/>
  <c r="H25" i="2" s="1"/>
  <c r="I10" i="2"/>
  <c r="I11" i="2"/>
  <c r="H27" i="2" s="1"/>
  <c r="I12" i="2"/>
  <c r="H28" i="2" s="1"/>
  <c r="I13" i="2"/>
  <c r="H29" i="2" s="1"/>
  <c r="I14" i="2"/>
  <c r="H30" i="2" s="1"/>
  <c r="I15" i="2"/>
  <c r="J31" i="2"/>
  <c r="H26" i="2"/>
  <c r="I31" i="2"/>
  <c r="A1" i="3"/>
  <c r="I5" i="3"/>
  <c r="I6" i="3"/>
  <c r="I7" i="3"/>
  <c r="I8" i="3"/>
  <c r="I9" i="3"/>
  <c r="I10" i="3"/>
  <c r="I11" i="3"/>
  <c r="I12" i="3"/>
  <c r="I13" i="3"/>
  <c r="I14" i="3"/>
  <c r="I15" i="3"/>
  <c r="H25" i="3"/>
  <c r="H26" i="3"/>
  <c r="H27" i="3"/>
  <c r="H28" i="3"/>
  <c r="H29" i="3"/>
  <c r="H30" i="3"/>
  <c r="H31" i="3"/>
  <c r="H32" i="3"/>
  <c r="H33" i="3"/>
  <c r="H34" i="3"/>
  <c r="H35" i="3"/>
  <c r="A1" i="4"/>
  <c r="A5" i="4"/>
  <c r="J5" i="4"/>
  <c r="A6" i="4"/>
  <c r="J6" i="4"/>
  <c r="A7" i="4"/>
  <c r="J7" i="4"/>
  <c r="J10" i="4"/>
  <c r="J11" i="4"/>
  <c r="J12" i="4"/>
  <c r="J13" i="4"/>
  <c r="J14" i="4"/>
  <c r="J15" i="4"/>
  <c r="I20" i="4"/>
  <c r="I21" i="4"/>
  <c r="I22" i="4"/>
  <c r="I23" i="4"/>
  <c r="I24" i="4"/>
  <c r="A1" i="5"/>
  <c r="B5" i="5"/>
  <c r="K5" i="5"/>
  <c r="T5" i="5"/>
  <c r="B6" i="5"/>
  <c r="K6" i="5"/>
  <c r="T6" i="5"/>
  <c r="T7" i="5"/>
  <c r="B21" i="5"/>
  <c r="Q21" i="5"/>
  <c r="B22" i="5"/>
  <c r="Q22" i="5"/>
  <c r="B23" i="5"/>
  <c r="Q23" i="5"/>
  <c r="B24" i="5"/>
  <c r="Q24" i="5"/>
  <c r="B25" i="5"/>
  <c r="Q25" i="5"/>
  <c r="D54" i="1" l="1"/>
  <c r="C64" i="1"/>
  <c r="D53" i="1"/>
  <c r="B64" i="1"/>
  <c r="L36" i="3"/>
  <c r="D36" i="1"/>
  <c r="J36" i="3"/>
  <c r="H36" i="3"/>
  <c r="H31" i="2"/>
  <c r="L31" i="2"/>
  <c r="C54" i="1"/>
  <c r="S24" i="5"/>
  <c r="C53" i="1"/>
  <c r="S20" i="5"/>
  <c r="C4" i="3"/>
  <c r="D28" i="1"/>
  <c r="R25" i="5"/>
  <c r="R21" i="5"/>
  <c r="G42" i="1"/>
  <c r="G26" i="1"/>
  <c r="R24" i="5"/>
  <c r="B54" i="1"/>
  <c r="B28" i="1"/>
  <c r="C36" i="1"/>
  <c r="C15" i="1"/>
  <c r="C28" i="1"/>
  <c r="B36" i="1"/>
  <c r="R20" i="5"/>
  <c r="R23" i="5"/>
  <c r="K31" i="2"/>
  <c r="S23" i="5"/>
  <c r="D15" i="1"/>
  <c r="S25" i="5"/>
  <c r="B15" i="1"/>
  <c r="G22" i="1"/>
  <c r="S21" i="5"/>
  <c r="H42" i="1"/>
  <c r="K9" i="4" l="1"/>
  <c r="J4" i="3"/>
  <c r="B29" i="1"/>
  <c r="D29" i="1"/>
  <c r="C29" i="1"/>
  <c r="M11" i="4" l="1"/>
  <c r="M10" i="4"/>
  <c r="M12" i="4"/>
  <c r="K4" i="4"/>
  <c r="L10" i="3"/>
  <c r="L14" i="3"/>
  <c r="J16" i="3"/>
  <c r="L5" i="3"/>
  <c r="L7" i="3"/>
  <c r="L11" i="3"/>
  <c r="L15" i="3"/>
  <c r="J5" i="2"/>
  <c r="L16" i="3"/>
  <c r="L13" i="3" l="1"/>
  <c r="L8" i="3"/>
  <c r="L9" i="3"/>
  <c r="L6" i="3"/>
  <c r="L12" i="3"/>
  <c r="M13" i="4"/>
  <c r="M15" i="4"/>
  <c r="M14" i="4"/>
  <c r="L7" i="2"/>
  <c r="L15" i="2"/>
  <c r="L9" i="2"/>
  <c r="L13" i="2"/>
  <c r="L6" i="2"/>
  <c r="L10" i="2"/>
  <c r="L14" i="2"/>
  <c r="L11" i="2"/>
  <c r="L8" i="2"/>
  <c r="L12" i="2"/>
  <c r="M6" i="4"/>
  <c r="K5" i="4"/>
  <c r="M5" i="4" s="1"/>
  <c r="M7" i="4"/>
</calcChain>
</file>

<file path=xl/comments1.xml><?xml version="1.0" encoding="utf-8"?>
<comments xmlns="http://schemas.openxmlformats.org/spreadsheetml/2006/main">
  <authors>
    <author>Mgadd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Mgadd:</t>
        </r>
        <r>
          <rPr>
            <sz val="9"/>
            <color indexed="81"/>
            <rFont val="Tahoma"/>
            <family val="2"/>
          </rPr>
          <t xml:space="preserve">
from F-65
</t>
        </r>
      </text>
    </comment>
    <comment ref="F66" authorId="0" shapeId="0">
      <text>
        <r>
          <rPr>
            <b/>
            <sz val="9"/>
            <color indexed="81"/>
            <rFont val="Tahoma"/>
            <family val="2"/>
          </rPr>
          <t>Mgadd:</t>
        </r>
        <r>
          <rPr>
            <sz val="9"/>
            <color indexed="81"/>
            <rFont val="Tahoma"/>
            <family val="2"/>
          </rPr>
          <t xml:space="preserve">
decreased by 81 each year?</t>
        </r>
      </text>
    </comment>
  </commentList>
</comments>
</file>

<file path=xl/comments2.xml><?xml version="1.0" encoding="utf-8"?>
<comments xmlns="http://schemas.openxmlformats.org/spreadsheetml/2006/main">
  <authors>
    <author>Mgadd</author>
  </authors>
  <commentList>
    <comment ref="P3" authorId="0" shapeId="0">
      <text>
        <r>
          <rPr>
            <b/>
            <sz val="9"/>
            <color indexed="81"/>
            <rFont val="Tahoma"/>
            <family val="2"/>
          </rPr>
          <t>Mgadd:</t>
        </r>
        <r>
          <rPr>
            <sz val="9"/>
            <color indexed="81"/>
            <rFont val="Tahoma"/>
            <family val="2"/>
          </rPr>
          <t xml:space="preserve">
Look behind charts for data input tables
</t>
        </r>
      </text>
    </comment>
  </commentList>
</comments>
</file>

<file path=xl/sharedStrings.xml><?xml version="1.0" encoding="utf-8"?>
<sst xmlns="http://schemas.openxmlformats.org/spreadsheetml/2006/main" count="364" uniqueCount="215">
  <si>
    <t>Fines &amp; Forfeitures</t>
  </si>
  <si>
    <t>Other Revenues</t>
  </si>
  <si>
    <t>3. Revenue sources - compared to the prior year</t>
  </si>
  <si>
    <t>State aid - health and/or hospitals</t>
  </si>
  <si>
    <t>Federal govt. grants - health and/or hospitals</t>
  </si>
  <si>
    <t>Federal govt. grants - sanitation</t>
  </si>
  <si>
    <t>State Government</t>
  </si>
  <si>
    <t>Commentary:</t>
  </si>
  <si>
    <t>Other public works</t>
  </si>
  <si>
    <t>Health &amp; Welfare</t>
  </si>
  <si>
    <t>Judicial</t>
  </si>
  <si>
    <t>Federal govt. grants - other</t>
  </si>
  <si>
    <t>Change</t>
  </si>
  <si>
    <t>Landfill Closure &amp; Postclosure Care</t>
  </si>
  <si>
    <t>Health dept.</t>
  </si>
  <si>
    <t>Other cultural activities</t>
  </si>
  <si>
    <t>Clerk</t>
  </si>
  <si>
    <t>Federal govt. grants - public safety</t>
  </si>
  <si>
    <t>Local donations - health and/or hospitals</t>
  </si>
  <si>
    <t>Property taxes</t>
  </si>
  <si>
    <t>Ambulance</t>
  </si>
  <si>
    <t>Elections</t>
  </si>
  <si>
    <t>Revenues</t>
  </si>
  <si>
    <t>Committed</t>
  </si>
  <si>
    <t>Jail</t>
  </si>
  <si>
    <t xml:space="preserve"> </t>
  </si>
  <si>
    <t>Local donations - housing &amp; community development</t>
  </si>
  <si>
    <t>CITIZENS' GUIDE TO LOCAL UNIT FINANCES - Saginaw Charter Township - Saginaw</t>
  </si>
  <si>
    <t>All other gen gov.</t>
  </si>
  <si>
    <t>State aid - general government</t>
  </si>
  <si>
    <t xml:space="preserve">4. Historical trends of individual components </t>
  </si>
  <si>
    <t>Other charges for services</t>
  </si>
  <si>
    <t>Unfunded (Overfunded)</t>
  </si>
  <si>
    <t>FUND BALANCE</t>
  </si>
  <si>
    <t>State aid - culture &amp; recreation</t>
  </si>
  <si>
    <t>Industrial facilities tax</t>
  </si>
  <si>
    <t>Public housing</t>
  </si>
  <si>
    <t>Date of actuarial valuation:</t>
  </si>
  <si>
    <t>General government</t>
  </si>
  <si>
    <t>Court-ordered fees and charges</t>
  </si>
  <si>
    <t>Statutory court fees &amp; charges</t>
  </si>
  <si>
    <t>Licenses &amp; Permits</t>
  </si>
  <si>
    <t>Financial Position
All governmental funds</t>
  </si>
  <si>
    <t>Fines, penalties &amp; forfeits</t>
  </si>
  <si>
    <t>EXPENDITURES</t>
  </si>
  <si>
    <t>Other public safety</t>
  </si>
  <si>
    <t>Other Public Works</t>
  </si>
  <si>
    <t>Liabilities not counted on a 
modified-accrual basis</t>
  </si>
  <si>
    <t>Library</t>
  </si>
  <si>
    <t>Income tax</t>
  </si>
  <si>
    <t>Interfund transfers In</t>
  </si>
  <si>
    <t>Nonspendable</t>
  </si>
  <si>
    <t>Other Contractual Debt</t>
  </si>
  <si>
    <t>Other health &amp; welfare</t>
  </si>
  <si>
    <t>State aid - electric</t>
  </si>
  <si>
    <t>Federal govt. grants - streets &amp; highways</t>
  </si>
  <si>
    <t>Misc. other revenue</t>
  </si>
  <si>
    <t>Local donations - streets &amp; highways</t>
  </si>
  <si>
    <t>General Government</t>
  </si>
  <si>
    <t>3. Spending - compared to the prior year</t>
  </si>
  <si>
    <t>Election charges</t>
  </si>
  <si>
    <t>Police &amp; Fire</t>
  </si>
  <si>
    <t>Trash disposal &amp; landfilling</t>
  </si>
  <si>
    <t>1. How have we managed our governmental fund resources (fund balance)</t>
  </si>
  <si>
    <t>Child care</t>
  </si>
  <si>
    <t>Police</t>
  </si>
  <si>
    <t>REVENUES</t>
  </si>
  <si>
    <t>Federal govt. grants - transit</t>
  </si>
  <si>
    <t>Local donations - other</t>
  </si>
  <si>
    <t>Medical examiner</t>
  </si>
  <si>
    <t>Unfunded</t>
  </si>
  <si>
    <t>Aggregation</t>
  </si>
  <si>
    <t>Finance</t>
  </si>
  <si>
    <t>Local Contributions</t>
  </si>
  <si>
    <t>Parking fees</t>
  </si>
  <si>
    <t>All other fees</t>
  </si>
  <si>
    <t xml:space="preserve">Local donations - Gas, water, electric </t>
  </si>
  <si>
    <t>Uninsured Losses</t>
  </si>
  <si>
    <t>State revenue sharing</t>
  </si>
  <si>
    <t>Commercial facilities tax</t>
  </si>
  <si>
    <t>Water &amp; sewer</t>
  </si>
  <si>
    <t>Local donations - transit</t>
  </si>
  <si>
    <t>Interfund transfers out</t>
  </si>
  <si>
    <t>Per capita information</t>
  </si>
  <si>
    <t>Business licenses &amp; permits</t>
  </si>
  <si>
    <t>Fund balance, by component:</t>
  </si>
  <si>
    <t>Local donations - public safety</t>
  </si>
  <si>
    <t>State aid - public safety</t>
  </si>
  <si>
    <t xml:space="preserve">4. Historical trends of individual sources </t>
  </si>
  <si>
    <t>3. Percent funded - compared to the prior year</t>
  </si>
  <si>
    <t>Federal govt. grants - culture &amp; recreation</t>
  </si>
  <si>
    <t>Federal Government</t>
  </si>
  <si>
    <t>State payment in lieu of taxes</t>
  </si>
  <si>
    <t>Oher community development</t>
  </si>
  <si>
    <t>Employee Compensated Absences</t>
  </si>
  <si>
    <t>Bonds &amp; Contracts Payable</t>
  </si>
  <si>
    <t>Combined public safety</t>
  </si>
  <si>
    <t>Alcoholism &amp; substance abuse</t>
  </si>
  <si>
    <t>Register of Deeds fees</t>
  </si>
  <si>
    <t>Pensions</t>
  </si>
  <si>
    <t>Other  refunds &amp; rebates</t>
  </si>
  <si>
    <t>Assets</t>
  </si>
  <si>
    <t>Federal govt. grants - water</t>
  </si>
  <si>
    <t>Hospital</t>
  </si>
  <si>
    <t>Debt issuance</t>
  </si>
  <si>
    <t>4. Historical trends of individual departments:</t>
  </si>
  <si>
    <t>All Governmental Funds (col. A &amp; b)</t>
  </si>
  <si>
    <t>F-65 line</t>
  </si>
  <si>
    <t>State aid - sanitation</t>
  </si>
  <si>
    <t>Statement Of Revenue &amp; Expense
All governmental funds</t>
  </si>
  <si>
    <t>Capital Outlay</t>
  </si>
  <si>
    <t>Debt service</t>
  </si>
  <si>
    <t>Total Revenues</t>
  </si>
  <si>
    <t>1. Where our money comes from (all governmental funds)</t>
  </si>
  <si>
    <t>State swamp and land taxes</t>
  </si>
  <si>
    <t>Parks and recreation fees</t>
  </si>
  <si>
    <t>Population information</t>
  </si>
  <si>
    <t>State aid - housing &amp; community development</t>
  </si>
  <si>
    <t>Assessing</t>
  </si>
  <si>
    <t>Interest &amp; Rents</t>
  </si>
  <si>
    <t>State aid - streets &amp; bridges</t>
  </si>
  <si>
    <t>Local donations - culture &amp; recreation</t>
  </si>
  <si>
    <t>Sum of All Pension &amp; OPEB Plans</t>
  </si>
  <si>
    <t>Debt:</t>
  </si>
  <si>
    <t>Police fees</t>
  </si>
  <si>
    <t>Other Public Safety</t>
  </si>
  <si>
    <t>Structured Debt</t>
  </si>
  <si>
    <t>Restricted</t>
  </si>
  <si>
    <t>Other Expenditures</t>
  </si>
  <si>
    <t>5. Debt &amp; other long term obligations per capita - compared to the prior year</t>
  </si>
  <si>
    <t>1. Pension funding status</t>
  </si>
  <si>
    <t>All other statutory fees</t>
  </si>
  <si>
    <t>Federal govt. grants - general government</t>
  </si>
  <si>
    <t>State aid - other</t>
  </si>
  <si>
    <t>Economic development</t>
  </si>
  <si>
    <t>Contact information</t>
  </si>
  <si>
    <t>Assigned</t>
  </si>
  <si>
    <t>Mental health</t>
  </si>
  <si>
    <t>Taxes</t>
  </si>
  <si>
    <t>Treasurer</t>
  </si>
  <si>
    <t>Special assessments</t>
  </si>
  <si>
    <t>Federal govt. grants - electric</t>
  </si>
  <si>
    <t>Fringe benefits not directly allocated to departments</t>
  </si>
  <si>
    <t>Building &amp; grounds</t>
  </si>
  <si>
    <t>2. Retiree Health care funding status</t>
  </si>
  <si>
    <t>Legislative</t>
  </si>
  <si>
    <t>Veterans' programs</t>
  </si>
  <si>
    <t>Parks &amp; recreation</t>
  </si>
  <si>
    <t>State pass-thru of act 51(Streets)</t>
  </si>
  <si>
    <t>Trailer taxes</t>
  </si>
  <si>
    <t>1. Where we spend our money (all governmental funds)</t>
  </si>
  <si>
    <t>Clerk's office charges</t>
  </si>
  <si>
    <t>Unlocked cells have conditional formatting set so that when they are blank, they are colored yellow.</t>
  </si>
  <si>
    <t>Interest &amp; dividends</t>
  </si>
  <si>
    <t>Airports</t>
  </si>
  <si>
    <t xml:space="preserve">DPW </t>
  </si>
  <si>
    <t>Public transportation</t>
  </si>
  <si>
    <t>Extraordinary/ Special items</t>
  </si>
  <si>
    <t>This sheet has been protected with no password</t>
  </si>
  <si>
    <t>Human services</t>
  </si>
  <si>
    <t>Actuarial Liability</t>
  </si>
  <si>
    <t>Charges for Services</t>
  </si>
  <si>
    <t>Local donations - general government</t>
  </si>
  <si>
    <t>State aid - water</t>
  </si>
  <si>
    <t>Non-business licenses &amp; permits</t>
  </si>
  <si>
    <t>Recreation &amp; Culture</t>
  </si>
  <si>
    <t>Roads &amp; bridges</t>
  </si>
  <si>
    <t>Debt Service</t>
  </si>
  <si>
    <t xml:space="preserve">2. Compared to the prior year </t>
  </si>
  <si>
    <t>Total Expenditures</t>
  </si>
  <si>
    <t>Dispatch (if separate)</t>
  </si>
  <si>
    <t>Local donations - welfare</t>
  </si>
  <si>
    <t>Description</t>
  </si>
  <si>
    <t>Chief executive</t>
  </si>
  <si>
    <t>State aid - welfare</t>
  </si>
  <si>
    <t xml:space="preserve">Roads </t>
  </si>
  <si>
    <t>Total Fund Balance</t>
  </si>
  <si>
    <t>Capital outlay</t>
  </si>
  <si>
    <t>Building regulations</t>
  </si>
  <si>
    <t>Planning &amp; zoning</t>
  </si>
  <si>
    <t>Hotel/ motel tax</t>
  </si>
  <si>
    <t>Sale of fixed assets</t>
  </si>
  <si>
    <t>Federal govt. grants - welfare</t>
  </si>
  <si>
    <t>State aid - transit</t>
  </si>
  <si>
    <t>Electricity</t>
  </si>
  <si>
    <t>Fire</t>
  </si>
  <si>
    <t>OPEB</t>
  </si>
  <si>
    <t>Rents &amp; royalties</t>
  </si>
  <si>
    <t>4. Long Term Debt obligations:</t>
  </si>
  <si>
    <t>Water (separate fund)</t>
  </si>
  <si>
    <t>Other Claims &amp; Contingencies</t>
  </si>
  <si>
    <t>Total Long Term Debt (Excl. Pension &amp; RHC)</t>
  </si>
  <si>
    <t>Local donations - sanitation</t>
  </si>
  <si>
    <t>Contributions</t>
  </si>
  <si>
    <t>Capital Leases</t>
  </si>
  <si>
    <t>Tax reverted property</t>
  </si>
  <si>
    <t>Federal govt. grants - housing &amp; community development</t>
  </si>
  <si>
    <t>Unassigned</t>
  </si>
  <si>
    <t>Percent funded</t>
  </si>
  <si>
    <t>Expenditures</t>
  </si>
  <si>
    <t>Ambulance services</t>
  </si>
  <si>
    <t>3. Fund balance - compared to the prior year</t>
  </si>
  <si>
    <t>Surplus (Shortfall)</t>
  </si>
  <si>
    <t>Fire run charges</t>
  </si>
  <si>
    <t>Community/Econ. Development</t>
  </si>
  <si>
    <t>Area agency on aging</t>
  </si>
  <si>
    <t>Contact Name:  Rob Grose, Township Manager</t>
  </si>
  <si>
    <t>Contact Phone Number:  (989)  791-9800</t>
  </si>
  <si>
    <t>All employee groups</t>
  </si>
  <si>
    <t>All governmental funds employees</t>
  </si>
  <si>
    <t>-</t>
  </si>
  <si>
    <t>Defined Benefit for Police Union employees.  Does not include contribution for Non-Union and DPS. (100% funded)</t>
  </si>
  <si>
    <t>Commentary:  Pension status:  The graph shows the results for the defined benefit plan offered to 36 inactive and 36 active police officers.</t>
  </si>
  <si>
    <t>Assets are equal to the liability for the defined contribution plan offered to 76 full-time Non-Union and DPS employees.</t>
  </si>
  <si>
    <t xml:space="preserve">Retiree Health Care funding represents benefits offered to all full-time general government employees and enterprise fund employees of the Township.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</si>
</sst>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0_);_(* \(#,##0.00\);_(* &quot;-&quot;_);_(@_)"/>
  </numFmts>
  <fonts count="32">
    <font>
      <sz val="11"/>
      <color indexed="8"/>
      <name val="Calibri"/>
      <family val="2"/>
    </font>
    <font>
      <sz val="10"/>
      <name val="Arial"/>
      <family val="2"/>
    </font>
    <font>
      <u val="singleAccounting"/>
      <sz val="12"/>
      <name val="Humanst521 BT"/>
      <family val="2"/>
    </font>
    <font>
      <sz val="12"/>
      <name val="Humanst521 B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Accounting"/>
      <sz val="11"/>
      <color indexed="8"/>
      <name val="Calibri"/>
      <family val="2"/>
    </font>
    <font>
      <b/>
      <sz val="11"/>
      <color indexed="12"/>
      <name val="Calibri"/>
      <family val="2"/>
    </font>
    <font>
      <b/>
      <u/>
      <sz val="11"/>
      <color indexed="8"/>
      <name val="Calibri"/>
      <family val="2"/>
    </font>
    <font>
      <b/>
      <u val="singleAccounting"/>
      <sz val="11"/>
      <color indexed="8"/>
      <name val="Calibri"/>
      <family val="2"/>
    </font>
    <font>
      <b/>
      <sz val="11"/>
      <color indexed="30"/>
      <name val="Calibri"/>
      <family val="2"/>
    </font>
    <font>
      <sz val="11"/>
      <color indexed="55"/>
      <name val="Calibri"/>
      <family val="2"/>
    </font>
    <font>
      <u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2">
    <xf numFmtId="41" fontId="0" fillId="0" borderId="0">
      <alignment vertical="center"/>
    </xf>
    <xf numFmtId="0" fontId="4" fillId="2" borderId="0"/>
    <xf numFmtId="0" fontId="4" fillId="3" borderId="0"/>
    <xf numFmtId="0" fontId="4" fillId="4" borderId="0"/>
    <xf numFmtId="0" fontId="4" fillId="5" borderId="0"/>
    <xf numFmtId="0" fontId="4" fillId="6" borderId="0"/>
    <xf numFmtId="0" fontId="4" fillId="7" borderId="0"/>
    <xf numFmtId="0" fontId="4" fillId="8" borderId="0"/>
    <xf numFmtId="0" fontId="4" fillId="9" borderId="0"/>
    <xf numFmtId="0" fontId="4" fillId="10" borderId="0"/>
    <xf numFmtId="0" fontId="4" fillId="5" borderId="0"/>
    <xf numFmtId="0" fontId="4" fillId="8" borderId="0"/>
    <xf numFmtId="0" fontId="4" fillId="11" borderId="0"/>
    <xf numFmtId="0" fontId="5" fillId="12" borderId="0"/>
    <xf numFmtId="0" fontId="5" fillId="9" borderId="0"/>
    <xf numFmtId="0" fontId="5" fillId="10" borderId="0"/>
    <xf numFmtId="0" fontId="5" fillId="13" borderId="0"/>
    <xf numFmtId="0" fontId="5" fillId="14" borderId="0"/>
    <xf numFmtId="0" fontId="5" fillId="15" borderId="0"/>
    <xf numFmtId="0" fontId="5" fillId="16" borderId="0"/>
    <xf numFmtId="0" fontId="5" fillId="17" borderId="0"/>
    <xf numFmtId="0" fontId="5" fillId="18" borderId="0"/>
    <xf numFmtId="0" fontId="5" fillId="13" borderId="0"/>
    <xf numFmtId="0" fontId="5" fillId="14" borderId="0"/>
    <xf numFmtId="0" fontId="5" fillId="19" borderId="0"/>
    <xf numFmtId="0" fontId="6" fillId="3" borderId="0"/>
    <xf numFmtId="0" fontId="7" fillId="20" borderId="1"/>
    <xf numFmtId="0" fontId="8" fillId="21" borderId="2"/>
    <xf numFmtId="49" fontId="2" fillId="0" borderId="0">
      <alignment horizontal="center" vertical="center" wrapText="1"/>
    </xf>
    <xf numFmtId="41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4" fontId="4" fillId="0" borderId="0">
      <alignment vertical="center"/>
    </xf>
    <xf numFmtId="42" fontId="1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44" fontId="4" fillId="0" borderId="0">
      <alignment vertical="center"/>
    </xf>
    <xf numFmtId="0" fontId="9" fillId="0" borderId="0"/>
    <xf numFmtId="0" fontId="10" fillId="4" borderId="0"/>
    <xf numFmtId="0" fontId="11" fillId="0" borderId="3"/>
    <xf numFmtId="0" fontId="12" fillId="0" borderId="4"/>
    <xf numFmtId="0" fontId="13" fillId="0" borderId="5"/>
    <xf numFmtId="0" fontId="13" fillId="0" borderId="0"/>
    <xf numFmtId="0" fontId="14" fillId="7" borderId="1"/>
    <xf numFmtId="0" fontId="15" fillId="0" borderId="6"/>
    <xf numFmtId="0" fontId="16" fillId="22" borderId="0"/>
    <xf numFmtId="41" fontId="4" fillId="0" borderId="0">
      <alignment vertical="center"/>
    </xf>
    <xf numFmtId="0" fontId="4" fillId="23" borderId="7"/>
    <xf numFmtId="0" fontId="17" fillId="20" borderId="8"/>
    <xf numFmtId="9" fontId="4" fillId="0" borderId="0">
      <alignment vertical="center"/>
    </xf>
    <xf numFmtId="9" fontId="4" fillId="0" borderId="0">
      <alignment vertical="center"/>
    </xf>
    <xf numFmtId="49" fontId="3" fillId="0" borderId="0">
      <alignment horizontal="left" vertical="center"/>
    </xf>
    <xf numFmtId="0" fontId="18" fillId="0" borderId="0"/>
    <xf numFmtId="0" fontId="19" fillId="0" borderId="9"/>
    <xf numFmtId="0" fontId="20" fillId="0" borderId="0"/>
  </cellStyleXfs>
  <cellXfs count="161"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left" vertical="center" indent="1"/>
    </xf>
    <xf numFmtId="41" fontId="0" fillId="0" borderId="0" xfId="0" applyNumberFormat="1" applyFont="1" applyBorder="1" applyAlignment="1">
      <alignment horizontal="left" vertical="center" indent="2"/>
    </xf>
    <xf numFmtId="41" fontId="0" fillId="0" borderId="0" xfId="0" applyNumberFormat="1" applyFont="1" applyBorder="1" applyAlignment="1">
      <alignment horizontal="left" vertical="center" indent="4"/>
    </xf>
    <xf numFmtId="41" fontId="0" fillId="0" borderId="0" xfId="0" applyNumberFormat="1" applyFont="1" applyBorder="1" applyAlignment="1">
      <alignment horizontal="left" vertical="center" indent="6"/>
    </xf>
    <xf numFmtId="41" fontId="0" fillId="0" borderId="10" xfId="0" applyNumberFormat="1" applyFont="1" applyBorder="1" applyAlignment="1">
      <alignment vertical="center"/>
    </xf>
    <xf numFmtId="0" fontId="21" fillId="0" borderId="11" xfId="0" applyNumberFormat="1" applyFont="1" applyBorder="1" applyAlignment="1">
      <alignment horizontal="center" vertical="center" wrapText="1"/>
    </xf>
    <xf numFmtId="0" fontId="21" fillId="0" borderId="12" xfId="0" applyNumberFormat="1" applyFont="1" applyBorder="1" applyAlignment="1">
      <alignment horizontal="center" vertical="center" wrapText="1"/>
    </xf>
    <xf numFmtId="41" fontId="0" fillId="0" borderId="13" xfId="0" applyNumberFormat="1" applyFont="1" applyBorder="1" applyAlignment="1">
      <alignment vertical="center"/>
    </xf>
    <xf numFmtId="41" fontId="0" fillId="0" borderId="14" xfId="0" applyNumberFormat="1" applyFont="1" applyBorder="1" applyAlignment="1">
      <alignment vertical="center"/>
    </xf>
    <xf numFmtId="41" fontId="0" fillId="0" borderId="15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1" fontId="0" fillId="0" borderId="17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horizontal="left" vertical="top"/>
    </xf>
    <xf numFmtId="41" fontId="0" fillId="0" borderId="0" xfId="0" applyNumberFormat="1" applyFont="1" applyBorder="1" applyAlignment="1" applyProtection="1">
      <alignment vertical="center"/>
    </xf>
    <xf numFmtId="41" fontId="0" fillId="0" borderId="0" xfId="0" applyNumberFormat="1" applyFont="1" applyFill="1" applyBorder="1" applyAlignment="1" applyProtection="1">
      <alignment vertical="center"/>
    </xf>
    <xf numFmtId="41" fontId="0" fillId="0" borderId="18" xfId="0" applyNumberFormat="1" applyFont="1" applyFill="1" applyBorder="1" applyAlignment="1" applyProtection="1">
      <alignment horizontal="left" vertical="center"/>
    </xf>
    <xf numFmtId="41" fontId="0" fillId="0" borderId="18" xfId="0" applyNumberFormat="1" applyFont="1" applyFill="1" applyBorder="1" applyAlignment="1" applyProtection="1">
      <alignment horizontal="centerContinuous" vertical="center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5" fontId="26" fillId="0" borderId="0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41" fontId="0" fillId="0" borderId="19" xfId="0" applyNumberFormat="1" applyFont="1" applyFill="1" applyBorder="1" applyAlignment="1" applyProtection="1">
      <alignment vertical="center"/>
    </xf>
    <xf numFmtId="41" fontId="0" fillId="0" borderId="10" xfId="0" applyNumberFormat="1" applyFont="1" applyBorder="1" applyAlignment="1" applyProtection="1">
      <alignment vertical="center"/>
    </xf>
    <xf numFmtId="0" fontId="21" fillId="0" borderId="11" xfId="0" applyNumberFormat="1" applyFont="1" applyBorder="1" applyAlignment="1" applyProtection="1">
      <alignment horizontal="center" vertical="center" wrapText="1"/>
    </xf>
    <xf numFmtId="0" fontId="21" fillId="0" borderId="12" xfId="0" applyNumberFormat="1" applyFont="1" applyBorder="1" applyAlignment="1" applyProtection="1">
      <alignment horizontal="center" vertical="center" wrapText="1"/>
    </xf>
    <xf numFmtId="41" fontId="0" fillId="0" borderId="15" xfId="0" applyNumberFormat="1" applyFont="1" applyBorder="1" applyAlignment="1" applyProtection="1">
      <alignment vertical="center"/>
    </xf>
    <xf numFmtId="41" fontId="0" fillId="0" borderId="14" xfId="0" applyNumberFormat="1" applyFont="1" applyBorder="1" applyAlignment="1" applyProtection="1">
      <alignment vertical="center"/>
    </xf>
    <xf numFmtId="41" fontId="0" fillId="0" borderId="13" xfId="0" applyNumberFormat="1" applyFont="1" applyBorder="1" applyAlignment="1" applyProtection="1">
      <alignment vertical="center"/>
    </xf>
    <xf numFmtId="41" fontId="0" fillId="0" borderId="16" xfId="0" applyNumberFormat="1" applyFont="1" applyBorder="1" applyAlignment="1" applyProtection="1">
      <alignment vertical="center"/>
    </xf>
    <xf numFmtId="41" fontId="0" fillId="0" borderId="17" xfId="0" applyNumberFormat="1" applyFont="1" applyBorder="1" applyAlignment="1" applyProtection="1">
      <alignment vertical="center"/>
    </xf>
    <xf numFmtId="41" fontId="0" fillId="0" borderId="0" xfId="0" applyNumberFormat="1" applyFont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23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horizontal="left" vertical="center" indent="1"/>
    </xf>
    <xf numFmtId="0" fontId="0" fillId="0" borderId="20" xfId="0" applyNumberFormat="1" applyFont="1" applyFill="1" applyBorder="1" applyAlignment="1" applyProtection="1">
      <alignment horizontal="left" vertical="center" indent="2"/>
    </xf>
    <xf numFmtId="0" fontId="0" fillId="0" borderId="21" xfId="0" applyNumberFormat="1" applyFont="1" applyFill="1" applyBorder="1" applyAlignment="1" applyProtection="1">
      <alignment horizontal="left" vertical="center" indent="1"/>
    </xf>
    <xf numFmtId="41" fontId="0" fillId="0" borderId="22" xfId="0" applyNumberFormat="1" applyFont="1" applyFill="1" applyBorder="1" applyAlignment="1" applyProtection="1">
      <alignment vertical="center"/>
    </xf>
    <xf numFmtId="41" fontId="0" fillId="0" borderId="23" xfId="0" applyNumberFormat="1" applyFont="1" applyFill="1" applyBorder="1" applyAlignment="1" applyProtection="1">
      <alignment vertical="center"/>
    </xf>
    <xf numFmtId="14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left" vertical="center" indent="2"/>
    </xf>
    <xf numFmtId="41" fontId="0" fillId="0" borderId="22" xfId="0" applyNumberFormat="1" applyFont="1" applyFill="1" applyBorder="1" applyAlignment="1" applyProtection="1">
      <alignment vertical="center"/>
      <protection locked="0"/>
    </xf>
    <xf numFmtId="0" fontId="23" fillId="0" borderId="25" xfId="0" applyNumberFormat="1" applyFont="1" applyFill="1" applyBorder="1" applyAlignment="1" applyProtection="1">
      <alignment vertical="center"/>
    </xf>
    <xf numFmtId="41" fontId="0" fillId="0" borderId="26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Border="1" applyAlignment="1">
      <alignment vertical="center" wrapText="1"/>
    </xf>
    <xf numFmtId="0" fontId="28" fillId="0" borderId="18" xfId="0" applyNumberFormat="1" applyFont="1" applyFill="1" applyBorder="1" applyAlignment="1" applyProtection="1">
      <alignment horizontal="left" vertical="center" inden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0" fillId="0" borderId="27" xfId="0" applyNumberFormat="1" applyFont="1" applyFill="1" applyBorder="1" applyAlignment="1" applyProtection="1">
      <alignment horizontal="left" vertical="center" indent="1"/>
    </xf>
    <xf numFmtId="41" fontId="0" fillId="0" borderId="28" xfId="0" applyNumberFormat="1" applyFont="1" applyFill="1" applyBorder="1" applyAlignment="1" applyProtection="1">
      <alignment vertical="center"/>
    </xf>
    <xf numFmtId="41" fontId="0" fillId="0" borderId="29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>
      <alignment horizontal="left" vertical="center" indent="1"/>
    </xf>
    <xf numFmtId="41" fontId="0" fillId="0" borderId="31" xfId="0" applyNumberFormat="1" applyFont="1" applyFill="1" applyBorder="1" applyAlignment="1" applyProtection="1">
      <alignment vertical="center"/>
    </xf>
    <xf numFmtId="41" fontId="0" fillId="0" borderId="32" xfId="0" applyNumberFormat="1" applyFont="1" applyFill="1" applyBorder="1" applyAlignment="1" applyProtection="1">
      <alignment vertical="center"/>
    </xf>
    <xf numFmtId="0" fontId="0" fillId="0" borderId="33" xfId="0" applyNumberFormat="1" applyFont="1" applyFill="1" applyBorder="1" applyAlignment="1" applyProtection="1">
      <alignment horizontal="left" vertical="center" indent="1"/>
    </xf>
    <xf numFmtId="41" fontId="0" fillId="0" borderId="34" xfId="0" applyNumberFormat="1" applyFont="1" applyFill="1" applyBorder="1" applyAlignment="1" applyProtection="1">
      <alignment vertical="center"/>
    </xf>
    <xf numFmtId="0" fontId="0" fillId="0" borderId="35" xfId="0" applyNumberFormat="1" applyFont="1" applyFill="1" applyBorder="1" applyAlignment="1" applyProtection="1">
      <alignment horizontal="left" vertical="center" indent="1"/>
    </xf>
    <xf numFmtId="41" fontId="0" fillId="0" borderId="28" xfId="0" applyNumberFormat="1" applyFont="1" applyFill="1" applyBorder="1" applyAlignment="1" applyProtection="1">
      <alignment vertical="center"/>
      <protection locked="0"/>
    </xf>
    <xf numFmtId="41" fontId="0" fillId="0" borderId="31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Font="1" applyFill="1" applyBorder="1" applyAlignment="1" applyProtection="1">
      <alignment horizontal="left" vertical="center" indent="2"/>
    </xf>
    <xf numFmtId="0" fontId="0" fillId="0" borderId="33" xfId="0" applyNumberFormat="1" applyFont="1" applyFill="1" applyBorder="1" applyAlignment="1" applyProtection="1">
      <alignment horizontal="left" vertical="center" indent="2"/>
    </xf>
    <xf numFmtId="9" fontId="0" fillId="0" borderId="36" xfId="56" applyNumberFormat="1" applyFont="1" applyFill="1" applyBorder="1" applyAlignment="1" applyProtection="1">
      <alignment vertical="center"/>
    </xf>
    <xf numFmtId="0" fontId="0" fillId="0" borderId="37" xfId="0" applyNumberFormat="1" applyFont="1" applyFill="1" applyBorder="1" applyAlignment="1" applyProtection="1">
      <alignment horizontal="left" vertical="center" indent="2"/>
    </xf>
    <xf numFmtId="9" fontId="0" fillId="0" borderId="38" xfId="56" applyNumberFormat="1" applyFont="1" applyFill="1" applyBorder="1" applyAlignment="1" applyProtection="1">
      <alignment vertical="center"/>
    </xf>
    <xf numFmtId="41" fontId="0" fillId="0" borderId="36" xfId="0" applyNumberFormat="1" applyFont="1" applyFill="1" applyBorder="1" applyAlignment="1" applyProtection="1">
      <alignment vertical="center"/>
      <protection locked="0"/>
    </xf>
    <xf numFmtId="41" fontId="0" fillId="0" borderId="39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horizontal="left" vertical="center" indent="2"/>
    </xf>
    <xf numFmtId="41" fontId="0" fillId="0" borderId="41" xfId="0" applyNumberFormat="1" applyFont="1" applyFill="1" applyBorder="1" applyAlignment="1" applyProtection="1">
      <alignment vertical="center"/>
    </xf>
    <xf numFmtId="0" fontId="0" fillId="0" borderId="30" xfId="0" applyNumberFormat="1" applyFont="1" applyFill="1" applyBorder="1" applyAlignment="1" applyProtection="1">
      <alignment vertical="center"/>
    </xf>
    <xf numFmtId="0" fontId="0" fillId="0" borderId="33" xfId="0" applyNumberFormat="1" applyFont="1" applyFill="1" applyBorder="1" applyAlignment="1" applyProtection="1">
      <alignment vertical="center"/>
    </xf>
    <xf numFmtId="0" fontId="0" fillId="0" borderId="0" xfId="0" applyNumberFormat="1" applyFont="1" applyBorder="1" applyAlignment="1" applyProtection="1">
      <alignment vertical="center"/>
    </xf>
    <xf numFmtId="41" fontId="0" fillId="0" borderId="11" xfId="0" applyNumberFormat="1" applyFont="1" applyBorder="1" applyAlignment="1" applyProtection="1">
      <alignment vertical="center"/>
    </xf>
    <xf numFmtId="41" fontId="8" fillId="24" borderId="26" xfId="0" applyNumberFormat="1" applyFont="1" applyFill="1" applyBorder="1" applyAlignment="1" applyProtection="1">
      <alignment vertical="center"/>
    </xf>
    <xf numFmtId="0" fontId="8" fillId="24" borderId="20" xfId="0" applyNumberFormat="1" applyFont="1" applyFill="1" applyBorder="1" applyAlignment="1" applyProtection="1">
      <alignment horizontal="center" vertical="center" wrapText="1"/>
    </xf>
    <xf numFmtId="0" fontId="8" fillId="24" borderId="25" xfId="0" applyNumberFormat="1" applyFont="1" applyFill="1" applyBorder="1" applyAlignment="1" applyProtection="1">
      <alignment horizontal="center" vertical="center" wrapText="1"/>
    </xf>
    <xf numFmtId="41" fontId="0" fillId="0" borderId="42" xfId="0" applyNumberFormat="1" applyFont="1" applyBorder="1" applyAlignment="1" applyProtection="1">
      <alignment vertical="center"/>
    </xf>
    <xf numFmtId="41" fontId="0" fillId="0" borderId="19" xfId="0" applyNumberFormat="1" applyFont="1" applyBorder="1" applyAlignment="1" applyProtection="1">
      <alignment vertical="center"/>
    </xf>
    <xf numFmtId="41" fontId="0" fillId="0" borderId="43" xfId="0" applyNumberFormat="1" applyFont="1" applyBorder="1" applyAlignment="1" applyProtection="1">
      <alignment vertical="center"/>
    </xf>
    <xf numFmtId="41" fontId="0" fillId="0" borderId="44" xfId="0" applyNumberFormat="1" applyFont="1" applyBorder="1" applyAlignment="1" applyProtection="1">
      <alignment vertical="center"/>
    </xf>
    <xf numFmtId="41" fontId="0" fillId="0" borderId="45" xfId="0" applyNumberFormat="1" applyFont="1" applyBorder="1" applyAlignment="1" applyProtection="1">
      <alignment vertical="center"/>
    </xf>
    <xf numFmtId="41" fontId="0" fillId="0" borderId="46" xfId="0" applyNumberFormat="1" applyFont="1" applyBorder="1" applyAlignment="1" applyProtection="1">
      <alignment vertical="center"/>
    </xf>
    <xf numFmtId="41" fontId="0" fillId="0" borderId="18" xfId="0" applyNumberFormat="1" applyFont="1" applyBorder="1" applyAlignment="1" applyProtection="1">
      <alignment vertical="center"/>
    </xf>
    <xf numFmtId="41" fontId="0" fillId="0" borderId="47" xfId="0" applyNumberFormat="1" applyFont="1" applyBorder="1" applyAlignment="1" applyProtection="1">
      <alignment vertical="center"/>
    </xf>
    <xf numFmtId="0" fontId="0" fillId="0" borderId="0" xfId="0" applyNumberFormat="1" applyFont="1" applyBorder="1" applyAlignment="1">
      <alignment vertical="center"/>
    </xf>
    <xf numFmtId="41" fontId="0" fillId="0" borderId="11" xfId="0" applyNumberFormat="1" applyFont="1" applyBorder="1" applyAlignment="1">
      <alignment vertical="center"/>
    </xf>
    <xf numFmtId="41" fontId="0" fillId="0" borderId="42" xfId="0" applyNumberFormat="1" applyFont="1" applyBorder="1" applyAlignment="1">
      <alignment vertical="center"/>
    </xf>
    <xf numFmtId="41" fontId="0" fillId="0" borderId="19" xfId="0" applyNumberFormat="1" applyFont="1" applyBorder="1" applyAlignment="1">
      <alignment vertical="center"/>
    </xf>
    <xf numFmtId="41" fontId="0" fillId="0" borderId="43" xfId="0" applyNumberFormat="1" applyFont="1" applyBorder="1" applyAlignment="1">
      <alignment vertical="center"/>
    </xf>
    <xf numFmtId="41" fontId="0" fillId="0" borderId="44" xfId="0" applyNumberFormat="1" applyFont="1" applyBorder="1" applyAlignment="1">
      <alignment vertical="center"/>
    </xf>
    <xf numFmtId="41" fontId="0" fillId="0" borderId="45" xfId="0" applyNumberFormat="1" applyFont="1" applyBorder="1" applyAlignment="1">
      <alignment vertical="center"/>
    </xf>
    <xf numFmtId="41" fontId="0" fillId="0" borderId="46" xfId="0" applyNumberFormat="1" applyFont="1" applyBorder="1" applyAlignment="1">
      <alignment vertical="center"/>
    </xf>
    <xf numFmtId="41" fontId="0" fillId="0" borderId="18" xfId="0" applyNumberFormat="1" applyFont="1" applyBorder="1" applyAlignment="1">
      <alignment vertical="center"/>
    </xf>
    <xf numFmtId="41" fontId="0" fillId="0" borderId="47" xfId="0" applyNumberFormat="1" applyFont="1" applyBorder="1" applyAlignment="1">
      <alignment vertical="center"/>
    </xf>
    <xf numFmtId="42" fontId="0" fillId="0" borderId="0" xfId="0" applyNumberFormat="1" applyFont="1" applyBorder="1" applyAlignment="1">
      <alignment vertical="center"/>
    </xf>
    <xf numFmtId="9" fontId="0" fillId="0" borderId="0" xfId="56" applyNumberFormat="1" applyFont="1" applyBorder="1" applyAlignment="1">
      <alignment vertical="center"/>
    </xf>
    <xf numFmtId="41" fontId="0" fillId="0" borderId="26" xfId="0" applyNumberFormat="1" applyFont="1" applyBorder="1" applyAlignment="1">
      <alignment vertical="center"/>
    </xf>
    <xf numFmtId="164" fontId="0" fillId="0" borderId="20" xfId="36" applyNumberFormat="1" applyFont="1" applyBorder="1" applyAlignment="1">
      <alignment vertical="center"/>
    </xf>
    <xf numFmtId="10" fontId="0" fillId="0" borderId="25" xfId="56" applyNumberFormat="1" applyFont="1" applyBorder="1" applyAlignment="1">
      <alignment horizontal="right" vertical="center"/>
    </xf>
    <xf numFmtId="41" fontId="8" fillId="24" borderId="0" xfId="0" applyNumberFormat="1" applyFont="1" applyFill="1" applyBorder="1" applyAlignment="1">
      <alignment vertical="center"/>
    </xf>
    <xf numFmtId="0" fontId="8" fillId="24" borderId="0" xfId="0" applyNumberFormat="1" applyFont="1" applyFill="1" applyBorder="1" applyAlignment="1">
      <alignment horizontal="center" vertical="center" wrapText="1"/>
    </xf>
    <xf numFmtId="41" fontId="0" fillId="0" borderId="26" xfId="0" applyNumberFormat="1" applyFont="1" applyBorder="1" applyAlignment="1">
      <alignment horizontal="left" vertical="center" indent="1"/>
    </xf>
    <xf numFmtId="0" fontId="0" fillId="0" borderId="19" xfId="0" applyNumberFormat="1" applyFont="1" applyBorder="1" applyAlignment="1">
      <alignment vertical="center"/>
    </xf>
    <xf numFmtId="41" fontId="0" fillId="0" borderId="48" xfId="0" applyNumberFormat="1" applyFont="1" applyFill="1" applyBorder="1" applyAlignment="1" applyProtection="1">
      <alignment vertical="center"/>
    </xf>
    <xf numFmtId="42" fontId="0" fillId="0" borderId="40" xfId="0" applyNumberFormat="1" applyFont="1" applyFill="1" applyBorder="1" applyAlignment="1" applyProtection="1">
      <alignment vertical="center"/>
    </xf>
    <xf numFmtId="10" fontId="0" fillId="0" borderId="49" xfId="56" applyNumberFormat="1" applyFont="1" applyFill="1" applyBorder="1" applyAlignment="1" applyProtection="1">
      <alignment horizontal="right" vertical="center"/>
    </xf>
    <xf numFmtId="10" fontId="0" fillId="0" borderId="50" xfId="0" applyNumberFormat="1" applyFont="1" applyFill="1" applyBorder="1" applyAlignment="1" applyProtection="1">
      <alignment horizontal="right" vertical="center"/>
    </xf>
    <xf numFmtId="10" fontId="0" fillId="0" borderId="50" xfId="56" applyNumberFormat="1" applyFont="1" applyFill="1" applyBorder="1" applyAlignment="1" applyProtection="1">
      <alignment horizontal="right" vertical="center"/>
    </xf>
    <xf numFmtId="10" fontId="0" fillId="0" borderId="51" xfId="56" applyNumberFormat="1" applyFont="1" applyFill="1" applyBorder="1" applyAlignment="1" applyProtection="1">
      <alignment horizontal="right" vertical="center"/>
    </xf>
    <xf numFmtId="41" fontId="0" fillId="0" borderId="52" xfId="0" applyNumberFormat="1" applyFont="1" applyFill="1" applyBorder="1" applyAlignment="1" applyProtection="1">
      <alignment horizontal="left" vertical="center" indent="1"/>
    </xf>
    <xf numFmtId="10" fontId="0" fillId="0" borderId="53" xfId="56" applyNumberFormat="1" applyFont="1" applyFill="1" applyBorder="1" applyAlignment="1" applyProtection="1">
      <alignment horizontal="right" vertical="center"/>
    </xf>
    <xf numFmtId="41" fontId="0" fillId="0" borderId="48" xfId="0" applyNumberFormat="1" applyFont="1" applyBorder="1" applyAlignment="1">
      <alignment vertical="center"/>
    </xf>
    <xf numFmtId="164" fontId="0" fillId="0" borderId="40" xfId="36" applyNumberFormat="1" applyFont="1" applyBorder="1" applyAlignment="1">
      <alignment vertical="center"/>
    </xf>
    <xf numFmtId="10" fontId="0" fillId="0" borderId="49" xfId="56" applyNumberFormat="1" applyFont="1" applyBorder="1" applyAlignment="1">
      <alignment horizontal="right" vertical="center"/>
    </xf>
    <xf numFmtId="41" fontId="0" fillId="0" borderId="32" xfId="0" applyNumberFormat="1" applyFont="1" applyBorder="1" applyAlignment="1">
      <alignment vertical="center"/>
    </xf>
    <xf numFmtId="10" fontId="0" fillId="0" borderId="50" xfId="56" applyNumberFormat="1" applyFont="1" applyBorder="1" applyAlignment="1">
      <alignment horizontal="right" vertical="center"/>
    </xf>
    <xf numFmtId="41" fontId="0" fillId="0" borderId="39" xfId="0" applyNumberFormat="1" applyFont="1" applyBorder="1" applyAlignment="1">
      <alignment vertical="center"/>
    </xf>
    <xf numFmtId="10" fontId="0" fillId="0" borderId="51" xfId="56" applyNumberFormat="1" applyFont="1" applyBorder="1" applyAlignment="1">
      <alignment horizontal="right" vertical="center"/>
    </xf>
    <xf numFmtId="41" fontId="0" fillId="0" borderId="52" xfId="0" applyNumberFormat="1" applyFont="1" applyBorder="1" applyAlignment="1">
      <alignment horizontal="left" vertical="center" indent="2"/>
    </xf>
    <xf numFmtId="10" fontId="0" fillId="0" borderId="53" xfId="56" applyNumberFormat="1" applyFont="1" applyBorder="1" applyAlignment="1">
      <alignment horizontal="right" vertical="center"/>
    </xf>
    <xf numFmtId="9" fontId="0" fillId="0" borderId="0" xfId="0" applyNumberFormat="1" applyFont="1" applyBorder="1" applyAlignment="1">
      <alignment vertical="center"/>
    </xf>
    <xf numFmtId="0" fontId="27" fillId="0" borderId="22" xfId="0" applyNumberFormat="1" applyFont="1" applyBorder="1" applyAlignment="1">
      <alignment horizontal="center" vertical="center"/>
    </xf>
    <xf numFmtId="0" fontId="27" fillId="0" borderId="22" xfId="0" applyNumberFormat="1" applyFont="1" applyBorder="1" applyAlignment="1">
      <alignment horizontal="center" vertical="center" wrapText="1"/>
    </xf>
    <xf numFmtId="0" fontId="21" fillId="0" borderId="22" xfId="0" applyNumberFormat="1" applyFont="1" applyBorder="1" applyAlignment="1">
      <alignment horizontal="center" vertical="center"/>
    </xf>
    <xf numFmtId="41" fontId="0" fillId="0" borderId="22" xfId="0" applyNumberFormat="1" applyFont="1" applyBorder="1" applyAlignment="1">
      <alignment vertical="center"/>
    </xf>
    <xf numFmtId="0" fontId="22" fillId="0" borderId="22" xfId="0" applyNumberFormat="1" applyFont="1" applyBorder="1" applyAlignment="1">
      <alignment vertical="center" wrapText="1"/>
    </xf>
    <xf numFmtId="0" fontId="0" fillId="0" borderId="22" xfId="0" applyNumberFormat="1" applyFont="1" applyBorder="1" applyAlignment="1">
      <alignment vertical="center" wrapText="1"/>
    </xf>
    <xf numFmtId="0" fontId="0" fillId="0" borderId="22" xfId="0" applyNumberFormat="1" applyFont="1" applyBorder="1" applyAlignment="1" applyProtection="1">
      <alignment vertical="center" wrapText="1"/>
      <protection locked="0"/>
    </xf>
    <xf numFmtId="41" fontId="0" fillId="0" borderId="22" xfId="0" applyNumberFormat="1" applyFont="1" applyBorder="1" applyAlignment="1" applyProtection="1">
      <alignment vertical="center"/>
      <protection locked="0"/>
    </xf>
    <xf numFmtId="41" fontId="0" fillId="0" borderId="22" xfId="53" applyNumberFormat="1" applyFont="1" applyBorder="1" applyAlignment="1" applyProtection="1">
      <alignment vertical="center"/>
      <protection locked="0"/>
    </xf>
    <xf numFmtId="0" fontId="0" fillId="0" borderId="22" xfId="0" applyNumberFormat="1" applyFont="1" applyBorder="1" applyAlignment="1">
      <alignment horizontal="left" vertical="center" wrapText="1"/>
    </xf>
    <xf numFmtId="0" fontId="0" fillId="0" borderId="45" xfId="0" applyNumberFormat="1" applyFont="1" applyBorder="1" applyAlignment="1">
      <alignment vertical="center"/>
    </xf>
    <xf numFmtId="41" fontId="0" fillId="0" borderId="0" xfId="0" applyNumberFormat="1" applyFont="1" applyBorder="1" applyAlignment="1" applyProtection="1">
      <alignment vertical="center"/>
      <protection locked="0"/>
    </xf>
    <xf numFmtId="165" fontId="0" fillId="0" borderId="0" xfId="0" applyNumberFormat="1" applyFont="1" applyBorder="1" applyAlignment="1">
      <alignment vertical="center"/>
    </xf>
    <xf numFmtId="41" fontId="0" fillId="0" borderId="22" xfId="0" applyNumberFormat="1" applyFont="1" applyBorder="1" applyAlignment="1" applyProtection="1">
      <alignment vertical="center"/>
    </xf>
    <xf numFmtId="41" fontId="0" fillId="0" borderId="44" xfId="0" applyNumberFormat="1" applyFont="1" applyFill="1" applyBorder="1" applyAlignment="1" applyProtection="1">
      <alignment vertical="center"/>
    </xf>
    <xf numFmtId="41" fontId="0" fillId="0" borderId="29" xfId="0" applyNumberFormat="1" applyFont="1" applyFill="1" applyBorder="1" applyAlignment="1" applyProtection="1">
      <alignment vertical="center"/>
      <protection locked="0"/>
    </xf>
    <xf numFmtId="41" fontId="0" fillId="0" borderId="44" xfId="0" applyNumberFormat="1" applyFont="1" applyFill="1" applyBorder="1" applyAlignment="1" applyProtection="1">
      <alignment vertical="center"/>
      <protection locked="0"/>
    </xf>
    <xf numFmtId="41" fontId="0" fillId="0" borderId="42" xfId="0" applyNumberFormat="1" applyFont="1" applyBorder="1" applyAlignment="1" applyProtection="1">
      <alignment horizontal="left" vertical="top"/>
      <protection locked="0"/>
    </xf>
    <xf numFmtId="41" fontId="0" fillId="0" borderId="19" xfId="0" applyNumberFormat="1" applyFont="1" applyBorder="1" applyAlignment="1" applyProtection="1">
      <alignment horizontal="left" vertical="top"/>
      <protection locked="0"/>
    </xf>
    <xf numFmtId="41" fontId="0" fillId="0" borderId="43" xfId="0" applyNumberFormat="1" applyFont="1" applyBorder="1" applyAlignment="1" applyProtection="1">
      <alignment horizontal="left" vertical="top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29" xfId="0" applyNumberFormat="1" applyFont="1" applyFill="1" applyBorder="1" applyAlignment="1" applyProtection="1">
      <alignment horizontal="right" vertical="center"/>
    </xf>
    <xf numFmtId="41" fontId="0" fillId="0" borderId="36" xfId="0" applyNumberFormat="1" applyFont="1" applyFill="1" applyBorder="1" applyAlignment="1" applyProtection="1">
      <alignment vertical="center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41" fontId="0" fillId="0" borderId="42" xfId="0" applyNumberFormat="1" applyFont="1" applyBorder="1" applyAlignment="1" applyProtection="1">
      <alignment horizontal="left" vertical="top"/>
      <protection locked="0"/>
    </xf>
    <xf numFmtId="41" fontId="0" fillId="0" borderId="19" xfId="0" applyNumberFormat="1" applyFont="1" applyBorder="1" applyAlignment="1" applyProtection="1">
      <alignment horizontal="left" vertical="top"/>
      <protection locked="0"/>
    </xf>
    <xf numFmtId="41" fontId="0" fillId="0" borderId="43" xfId="0" applyNumberFormat="1" applyFont="1" applyBorder="1" applyAlignment="1" applyProtection="1">
      <alignment horizontal="left" vertical="top"/>
      <protection locked="0"/>
    </xf>
    <xf numFmtId="41" fontId="29" fillId="0" borderId="0" xfId="0" applyNumberFormat="1" applyFont="1" applyBorder="1" applyAlignment="1" applyProtection="1">
      <alignment horizontal="center" vertical="center"/>
    </xf>
    <xf numFmtId="41" fontId="29" fillId="0" borderId="0" xfId="0" applyNumberFormat="1" applyFont="1" applyBorder="1" applyAlignment="1">
      <alignment horizontal="center" vertical="center"/>
    </xf>
    <xf numFmtId="41" fontId="0" fillId="0" borderId="42" xfId="0" applyNumberFormat="1" applyFont="1" applyBorder="1" applyAlignment="1" applyProtection="1">
      <alignment vertical="top"/>
      <protection locked="0"/>
    </xf>
    <xf numFmtId="41" fontId="0" fillId="0" borderId="19" xfId="0" applyNumberFormat="1" applyFont="1" applyBorder="1" applyAlignment="1" applyProtection="1">
      <alignment vertical="top"/>
      <protection locked="0"/>
    </xf>
    <xf numFmtId="41" fontId="0" fillId="0" borderId="43" xfId="0" applyNumberFormat="1" applyFont="1" applyBorder="1" applyAlignment="1" applyProtection="1">
      <alignment vertical="top"/>
      <protection locked="0"/>
    </xf>
    <xf numFmtId="41" fontId="0" fillId="0" borderId="44" xfId="0" applyNumberFormat="1" applyFont="1" applyBorder="1" applyAlignment="1" applyProtection="1">
      <alignment horizontal="left" vertical="top"/>
      <protection locked="0"/>
    </xf>
    <xf numFmtId="41" fontId="0" fillId="0" borderId="0" xfId="0" applyNumberFormat="1" applyFont="1" applyBorder="1" applyAlignment="1" applyProtection="1">
      <alignment horizontal="left" vertical="top"/>
      <protection locked="0"/>
    </xf>
    <xf numFmtId="41" fontId="0" fillId="0" borderId="45" xfId="0" applyNumberFormat="1" applyFont="1" applyBorder="1" applyAlignment="1" applyProtection="1">
      <alignment horizontal="left" vertical="top"/>
      <protection locked="0"/>
    </xf>
    <xf numFmtId="41" fontId="0" fillId="0" borderId="46" xfId="0" applyNumberFormat="1" applyFont="1" applyBorder="1" applyAlignment="1" applyProtection="1">
      <alignment horizontal="left" vertical="top"/>
      <protection locked="0"/>
    </xf>
    <xf numFmtId="41" fontId="0" fillId="0" borderId="18" xfId="0" applyNumberFormat="1" applyFont="1" applyBorder="1" applyAlignment="1" applyProtection="1">
      <alignment horizontal="left" vertical="top"/>
      <protection locked="0"/>
    </xf>
    <xf numFmtId="41" fontId="0" fillId="0" borderId="47" xfId="0" applyNumberFormat="1" applyFont="1" applyBorder="1" applyAlignment="1" applyProtection="1">
      <alignment horizontal="left" vertical="top"/>
      <protection locked="0"/>
    </xf>
  </cellXfs>
  <cellStyles count="6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lumn Heading" xfId="28"/>
    <cellStyle name="Comma [0] 2" xfId="29"/>
    <cellStyle name="Comma 2" xfId="30"/>
    <cellStyle name="Comma 3" xfId="31"/>
    <cellStyle name="Comma 4" xfId="32"/>
    <cellStyle name="Comma 5" xfId="33"/>
    <cellStyle name="Comma 6" xfId="34"/>
    <cellStyle name="Comma 7" xfId="35"/>
    <cellStyle name="Currency" xfId="36" builtinId="4"/>
    <cellStyle name="Currency [0] 2" xfId="37"/>
    <cellStyle name="Currency 2" xfId="38"/>
    <cellStyle name="Currency 3" xfId="39"/>
    <cellStyle name="Currency 4" xfId="40"/>
    <cellStyle name="Currency 5" xfId="41"/>
    <cellStyle name="Currency 6" xfId="42"/>
    <cellStyle name="Currency 7" xfId="43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/>
    <cellStyle name="Note" xfId="54" builtinId="10" customBuiltin="1"/>
    <cellStyle name="Output" xfId="55" builtinId="21" customBuiltin="1"/>
    <cellStyle name="Percent" xfId="56" builtinId="5"/>
    <cellStyle name="Percent 2" xfId="57"/>
    <cellStyle name="Text Column (No indent)" xfId="58"/>
    <cellStyle name="Title" xfId="59" builtinId="15" customBuiltin="1"/>
    <cellStyle name="Total" xfId="60" builtinId="25" customBuiltin="1"/>
    <cellStyle name="Warning Text" xfId="61" builtinId="11" customBuiltin="1"/>
  </cellStyles>
  <dxfs count="4"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  <dxf>
      <fill>
        <patternFill>
          <bgColor indexed="3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70129310401815"/>
          <c:y val="0.15116995444932546"/>
          <c:w val="0.88218126197558666"/>
          <c:h val="0.69780453794554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Revenues!$H$31</c:f>
              <c:strCache>
                <c:ptCount val="1"/>
                <c:pt idx="0">
                  <c:v> Charges for Services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1"/>
          <c:cat>
            <c:numRef>
              <c:f>Revenues!$I$21:$M$21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Revenues!$I$31:$M$31</c:f>
              <c:numCache>
                <c:formatCode>_(* #,##0_);_(* \(#,##0\);_(* "-"_);_(@_)</c:formatCode>
                <c:ptCount val="5"/>
                <c:pt idx="0">
                  <c:v>2046548</c:v>
                </c:pt>
                <c:pt idx="1">
                  <c:v>2030569</c:v>
                </c:pt>
                <c:pt idx="2">
                  <c:v>2034569</c:v>
                </c:pt>
                <c:pt idx="3">
                  <c:v>2378845</c:v>
                </c:pt>
                <c:pt idx="4">
                  <c:v>2356483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2990504"/>
        <c:axId val="283742648"/>
      </c:barChart>
      <c:catAx>
        <c:axId val="282990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3742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374264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29905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138817480719795"/>
          <c:y val="6.7331855294228304E-2"/>
          <c:w val="0.81491002570694082"/>
          <c:h val="0.71072513921685443"/>
        </c:manualLayout>
      </c:layout>
      <c:lineChart>
        <c:grouping val="standard"/>
        <c:varyColors val="0"/>
        <c:ser>
          <c:idx val="0"/>
          <c:order val="0"/>
          <c:tx>
            <c:strRef>
              <c:f>Obligations!$B$5</c:f>
              <c:strCache>
                <c:ptCount val="1"/>
                <c:pt idx="0">
                  <c:v> Assets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Obligations!$C$4:$G$4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Obligations!$C$5:$G$5</c:f>
              <c:numCache>
                <c:formatCode>_(* #,##0_);_(* \(#,##0\);_(* "-"_);_(@_)</c:formatCode>
                <c:ptCount val="5"/>
                <c:pt idx="0">
                  <c:v>11943638</c:v>
                </c:pt>
                <c:pt idx="1">
                  <c:v>12452833</c:v>
                </c:pt>
                <c:pt idx="2">
                  <c:v>12878070</c:v>
                </c:pt>
                <c:pt idx="3">
                  <c:v>13025500</c:v>
                </c:pt>
                <c:pt idx="4">
                  <c:v>13174974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Obligations!$B$6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Obligations!$C$4:$G$4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Obligations!$C$6:$G$6</c:f>
              <c:numCache>
                <c:formatCode>_(* #,##0_);_(* \(#,##0\);_(* "-"_);_(@_)</c:formatCode>
                <c:ptCount val="5"/>
                <c:pt idx="0">
                  <c:v>17972554</c:v>
                </c:pt>
                <c:pt idx="1">
                  <c:v>18385752</c:v>
                </c:pt>
                <c:pt idx="2">
                  <c:v>19426480</c:v>
                </c:pt>
                <c:pt idx="3">
                  <c:v>19235619</c:v>
                </c:pt>
                <c:pt idx="4">
                  <c:v>19957277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537136"/>
        <c:axId val="285537528"/>
      </c:lineChart>
      <c:catAx>
        <c:axId val="285537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537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55375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53713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796915167095116"/>
          <c:y val="0.89027660507523843"/>
          <c:w val="0.77634961439588679"/>
          <c:h val="7.23195292608374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62522351777318"/>
          <c:y val="6.7331855294228304E-2"/>
          <c:w val="0.80989712063013819"/>
          <c:h val="0.71072513921685443"/>
        </c:manualLayout>
      </c:layout>
      <c:lineChart>
        <c:grouping val="standard"/>
        <c:varyColors val="0"/>
        <c:ser>
          <c:idx val="0"/>
          <c:order val="0"/>
          <c:tx>
            <c:strRef>
              <c:f>Obligations!$K$5</c:f>
              <c:strCache>
                <c:ptCount val="1"/>
                <c:pt idx="0">
                  <c:v> Assets </c:v>
                </c:pt>
              </c:strCache>
            </c:strRef>
          </c:tx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Obligations!$L$4:$P$4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Obligations!$L$5:$P$5</c:f>
              <c:numCache>
                <c:formatCode>_(* #,##0_);_(* \(#,##0\);_(* "-"_);_(@_)</c:formatCode>
                <c:ptCount val="5"/>
                <c:pt idx="0">
                  <c:v>1120014</c:v>
                </c:pt>
                <c:pt idx="1">
                  <c:v>1441306</c:v>
                </c:pt>
                <c:pt idx="2">
                  <c:v>2046725</c:v>
                </c:pt>
                <c:pt idx="3">
                  <c:v>2566542</c:v>
                </c:pt>
                <c:pt idx="4">
                  <c:v>3049204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Obligations!$K$6</c:f>
              <c:strCache>
                <c:ptCount val="1"/>
                <c:pt idx="0">
                  <c:v> Actuarial Liability 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Obligations!$L$4:$P$4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Obligations!$L$6:$P$6</c:f>
              <c:numCache>
                <c:formatCode>_(* #,##0_);_(* \(#,##0\);_(* "-"_);_(@_)</c:formatCode>
                <c:ptCount val="5"/>
                <c:pt idx="0">
                  <c:v>11400758</c:v>
                </c:pt>
                <c:pt idx="1">
                  <c:v>11978801</c:v>
                </c:pt>
                <c:pt idx="2">
                  <c:v>12520108</c:v>
                </c:pt>
                <c:pt idx="3">
                  <c:v>10109362</c:v>
                </c:pt>
                <c:pt idx="4">
                  <c:v>10477968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5538312"/>
        <c:axId val="285538704"/>
      </c:lineChart>
      <c:catAx>
        <c:axId val="285538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538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55387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53831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0416666666666666"/>
          <c:y val="0.90025199468520301"/>
          <c:w val="0.78645970034995627"/>
          <c:h val="7.23195292608374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068507549255777"/>
          <c:y val="6.0606322159741398E-2"/>
          <c:w val="0.8082199503691736"/>
          <c:h val="0.70454849510699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Obligations!$U$4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Obligations!$T$5:$T$7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Obligations!$U$5:$U$7</c:f>
              <c:numCache>
                <c:formatCode>0%</c:formatCode>
                <c:ptCount val="3"/>
                <c:pt idx="0">
                  <c:v>0.67715522957696339</c:v>
                </c:pt>
                <c:pt idx="1">
                  <c:v>0.25387774223536558</c:v>
                </c:pt>
                <c:pt idx="2">
                  <c:v>0.5313359037444938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Obligations!$V$4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Obligations!$T$5:$T$7</c:f>
              <c:strCache>
                <c:ptCount val="3"/>
                <c:pt idx="0">
                  <c:v> Pensions </c:v>
                </c:pt>
                <c:pt idx="1">
                  <c:v> OPEB </c:v>
                </c:pt>
                <c:pt idx="2">
                  <c:v> Sum of All Pension &amp; OPEB Plans </c:v>
                </c:pt>
              </c:strCache>
            </c:strRef>
          </c:cat>
          <c:val>
            <c:numRef>
              <c:f>Obligations!$V$5:$V$7</c:f>
              <c:numCache>
                <c:formatCode>0%</c:formatCode>
                <c:ptCount val="3"/>
                <c:pt idx="0">
                  <c:v>0.66015889843088316</c:v>
                </c:pt>
                <c:pt idx="1">
                  <c:v>0.2910110051872653</c:v>
                </c:pt>
                <c:pt idx="2">
                  <c:v>0.53307203539843362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539488"/>
        <c:axId val="285982720"/>
      </c:barChart>
      <c:catAx>
        <c:axId val="285539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982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598272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5394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26614507090723249"/>
          <c:y val="0.90909488586653941"/>
          <c:w val="0.4598830968046802"/>
          <c:h val="7.32326546302923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070897727772294"/>
          <c:y val="2.53277736321921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50294375472731"/>
          <c:y val="8.2020438383210548E-2"/>
          <c:w val="0.62173888375165376"/>
          <c:h val="0.832489888890885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Obligations!$B$22</c:f>
              <c:strCache>
                <c:ptCount val="1"/>
                <c:pt idx="0">
                  <c:v> Employee Compensated Absences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1"/>
          <c:cat>
            <c:numRef>
              <c:f>Obligations!$C$20:$G$20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Obligations!$C$22:$G$22</c:f>
              <c:numCache>
                <c:formatCode>_(* #,##0_);_(* \(#,##0\);_(* "-"_);_(@_)</c:formatCode>
                <c:ptCount val="5"/>
                <c:pt idx="0">
                  <c:v>921961</c:v>
                </c:pt>
                <c:pt idx="1">
                  <c:v>910050</c:v>
                </c:pt>
                <c:pt idx="2">
                  <c:v>950975</c:v>
                </c:pt>
                <c:pt idx="3">
                  <c:v>885511</c:v>
                </c:pt>
                <c:pt idx="4">
                  <c:v>864570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5983504"/>
        <c:axId val="28598389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Obligations!$B$21</c15:sqref>
                        </c15:formulaRef>
                      </c:ext>
                    </c:extLst>
                    <c:strCache>
                      <c:ptCount val="1"/>
                      <c:pt idx="0">
                        <c:v> Structured Debt </c:v>
                      </c:pt>
                    </c:strCache>
                  </c:strRef>
                </c:tx>
                <c:spPr>
                  <a:solidFill>
                    <a:srgbClr val="C00000"/>
                  </a:solidFill>
                  <a:ln w="25400">
                    <a:noFill/>
                  </a:ln>
                </c:spPr>
                <c:invertIfNegative val="1"/>
                <c:cat>
                  <c:numRef>
                    <c:extLst>
                      <c:ext uri="{02D57815-91ED-43cb-92C2-25804820EDAC}">
                        <c15:formulaRef>
                          <c15:sqref>Obligations!$C$20:$G$20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Obligations!$C$21:$G$21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  <a:ln w="25400">
                          <a:noFill/>
                        </a:ln>
                      </c14:spPr>
                    </c14:invertSolidFillFmt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Obligations!$B$23</c15:sqref>
                        </c15:formulaRef>
                      </c:ext>
                    </c:extLst>
                    <c:strCache>
                      <c:ptCount val="1"/>
                      <c:pt idx="0">
                        <c:v> Landfill Closure &amp; Postclosure Care </c:v>
                      </c:pt>
                    </c:strCache>
                  </c:strRef>
                </c:tx>
                <c:spPr>
                  <a:solidFill>
                    <a:srgbClr val="FCF305"/>
                  </a:solidFill>
                  <a:ln w="25400">
                    <a:noFill/>
                  </a:ln>
                </c:spPr>
                <c:invertIfNegative val="1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Obligations!$C$20:$G$20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Obligations!$C$23:$G$23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  <a:ln w="25400">
                          <a:noFill/>
                        </a:ln>
                      </c14:spPr>
                    </c14:invertSolidFillFmt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Obligations!$B$24</c15:sqref>
                        </c15:formulaRef>
                      </c:ext>
                    </c:extLst>
                    <c:strCache>
                      <c:ptCount val="1"/>
                      <c:pt idx="0">
                        <c:v> Uninsured Losses </c:v>
                      </c:pt>
                    </c:strCache>
                  </c:strRef>
                </c:tx>
                <c:spPr>
                  <a:solidFill>
                    <a:srgbClr val="666699"/>
                  </a:solidFill>
                  <a:ln w="25400">
                    <a:noFill/>
                  </a:ln>
                </c:spPr>
                <c:invertIfNegative val="1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Obligations!$C$20:$G$20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Obligations!$C$24:$G$24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  <a:ln w="25400">
                          <a:noFill/>
                        </a:ln>
                      </c14:spPr>
                    </c14:invertSolidFillFmt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Obligations!$B$25</c15:sqref>
                        </c15:formulaRef>
                      </c:ext>
                    </c:extLst>
                    <c:strCache>
                      <c:ptCount val="1"/>
                      <c:pt idx="0">
                        <c:v> Other Claims &amp; Contingencies </c:v>
                      </c:pt>
                    </c:strCache>
                  </c:strRef>
                </c:tx>
                <c:spPr>
                  <a:solidFill>
                    <a:srgbClr val="33CCCC"/>
                  </a:solidFill>
                  <a:ln w="25400">
                    <a:noFill/>
                  </a:ln>
                </c:spPr>
                <c:invertIfNegative val="1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Obligations!$C$20:$G$20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2013</c:v>
                      </c:pt>
                      <c:pt idx="1">
                        <c:v>2014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Obligations!$C$25:$G$25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5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  <a:ln w="25400">
                          <a:noFill/>
                        </a:ln>
                      </c14:spPr>
                    </c14:invertSolidFillFmt>
                  </c:ext>
                </c:extLst>
              </c15:ser>
            </c15:filteredBarSeries>
          </c:ext>
        </c:extLst>
      </c:barChart>
      <c:catAx>
        <c:axId val="28598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9838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59838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98350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4068805511058966"/>
          <c:y val="0.11675160211572538"/>
          <c:w val="0.23209187855816016"/>
          <c:h val="0.796956646282158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756543169104370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4955489614243327E-2"/>
          <c:y val="6.3131585583063962E-2"/>
          <c:w val="0.63996855571254752"/>
          <c:h val="0.8282864028497992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Obligations!$Q$22</c:f>
              <c:strCache>
                <c:ptCount val="1"/>
                <c:pt idx="0">
                  <c:v> Employee Compensated Absences 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1"/>
          <c:cat>
            <c:numRef>
              <c:f>Obligations!$R$20:$S$20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Obligations!$R$22:$S$22</c:f>
              <c:numCache>
                <c:formatCode>_(* #,##0.00_);_(* \(#,##0.00\);_(* "-"_);_(@_)</c:formatCode>
                <c:ptCount val="2"/>
                <c:pt idx="0">
                  <c:v>22</c:v>
                </c:pt>
                <c:pt idx="1">
                  <c:v>21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5984680"/>
        <c:axId val="2859850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Obligations!$Q$21</c15:sqref>
                        </c15:formulaRef>
                      </c:ext>
                    </c:extLst>
                    <c:strCache>
                      <c:ptCount val="1"/>
                      <c:pt idx="0">
                        <c:v> Structured Debt </c:v>
                      </c:pt>
                    </c:strCache>
                  </c:strRef>
                </c:tx>
                <c:spPr>
                  <a:solidFill>
                    <a:srgbClr val="C00000"/>
                  </a:solidFill>
                  <a:ln w="25400">
                    <a:noFill/>
                  </a:ln>
                </c:spPr>
                <c:invertIfNegative val="1"/>
                <c:cat>
                  <c:numRef>
                    <c:extLst>
                      <c:ext uri="{02D57815-91ED-43cb-92C2-25804820EDAC}">
                        <c15:formulaRef>
                          <c15:sqref>Obligations!$R$20:$S$20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2016</c:v>
                      </c:pt>
                      <c:pt idx="1">
                        <c:v>2017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Obligations!$R$21:$S$21</c15:sqref>
                        </c15:formulaRef>
                      </c:ext>
                    </c:extLst>
                    <c:numCache>
                      <c:formatCode>_(* #,##0.00_);_(* \(#,##0.00\);_(* "-"_);_(@_)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  <a:ln w="25400">
                          <a:noFill/>
                        </a:ln>
                      </c14:spPr>
                    </c14:invertSolidFillFmt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Obligations!$Q$23</c15:sqref>
                        </c15:formulaRef>
                      </c:ext>
                    </c:extLst>
                    <c:strCache>
                      <c:ptCount val="1"/>
                      <c:pt idx="0">
                        <c:v> Landfill Closure &amp; Postclosure Care </c:v>
                      </c:pt>
                    </c:strCache>
                  </c:strRef>
                </c:tx>
                <c:spPr>
                  <a:solidFill>
                    <a:srgbClr val="FCF305"/>
                  </a:solidFill>
                  <a:ln w="25400">
                    <a:noFill/>
                  </a:ln>
                </c:spPr>
                <c:invertIfNegative val="1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Obligations!$R$20:$S$20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2016</c:v>
                      </c:pt>
                      <c:pt idx="1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Obligations!$R$23:$S$23</c15:sqref>
                        </c15:formulaRef>
                      </c:ext>
                    </c:extLst>
                    <c:numCache>
                      <c:formatCode>_(* #,##0.00_);_(* \(#,##0.00\);_(* "-"_);_(@_)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  <a:ln w="25400">
                          <a:noFill/>
                        </a:ln>
                      </c14:spPr>
                    </c14:invertSolidFillFmt>
                  </c:ext>
                </c:extLst>
              </c15:ser>
            </c15:filteredBarSeries>
            <c15:filteredBar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Obligations!$Q$24</c15:sqref>
                        </c15:formulaRef>
                      </c:ext>
                    </c:extLst>
                    <c:strCache>
                      <c:ptCount val="1"/>
                      <c:pt idx="0">
                        <c:v> Uninsured Losses </c:v>
                      </c:pt>
                    </c:strCache>
                  </c:strRef>
                </c:tx>
                <c:spPr>
                  <a:solidFill>
                    <a:srgbClr val="666699"/>
                  </a:solidFill>
                  <a:ln w="25400">
                    <a:noFill/>
                  </a:ln>
                </c:spPr>
                <c:invertIfNegative val="1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Obligations!$R$20:$S$20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2016</c:v>
                      </c:pt>
                      <c:pt idx="1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Obligations!$R$24:$S$24</c15:sqref>
                        </c15:formulaRef>
                      </c:ext>
                    </c:extLst>
                    <c:numCache>
                      <c:formatCode>_(* #,##0.00_);_(* \(#,##0.00\);_(* "-"_);_(@_)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  <a:ln w="25400">
                          <a:noFill/>
                        </a:ln>
                      </c14:spPr>
                    </c14:invertSolidFillFmt>
                  </c:ext>
                </c:extLst>
              </c15:ser>
            </c15:filteredBarSeries>
            <c15:filteredBar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Obligations!$Q$25</c15:sqref>
                        </c15:formulaRef>
                      </c:ext>
                    </c:extLst>
                    <c:strCache>
                      <c:ptCount val="1"/>
                      <c:pt idx="0">
                        <c:v> Other Claims &amp; Contingencies </c:v>
                      </c:pt>
                    </c:strCache>
                  </c:strRef>
                </c:tx>
                <c:spPr>
                  <a:solidFill>
                    <a:srgbClr val="33CCCC"/>
                  </a:solidFill>
                  <a:ln w="25400">
                    <a:noFill/>
                  </a:ln>
                </c:spPr>
                <c:invertIfNegative val="1"/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Obligations!$R$20:$S$20</c15:sqref>
                        </c15:formulaRef>
                      </c:ext>
                    </c:extLst>
                    <c:numCache>
                      <c:formatCode>General</c:formatCode>
                      <c:ptCount val="2"/>
                      <c:pt idx="0">
                        <c:v>2016</c:v>
                      </c:pt>
                      <c:pt idx="1">
                        <c:v>2017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Obligations!$R$25:$S$25</c15:sqref>
                        </c15:formulaRef>
                      </c:ext>
                    </c:extLst>
                    <c:numCache>
                      <c:formatCode>_(* #,##0.00_);_(* \(#,##0.00\);_(* "-"_);_(@_)</c:formatCode>
                      <c:ptCount val="2"/>
                      <c:pt idx="0">
                        <c:v>0</c:v>
                      </c:pt>
                      <c:pt idx="1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4="http://schemas.microsoft.com/office/drawing/2007/8/2/chart" uri="{6F2FDCE9-48DA-4B69-8628-5D25D57E5C99}">
                    <c14:invertSolidFillFmt>
                      <c14:spPr xmlns:c14="http://schemas.microsoft.com/office/drawing/2007/8/2/chart">
                        <a:solidFill>
                          <a:srgbClr val="FFFFFF"/>
                        </a:solidFill>
                        <a:ln w="25400">
                          <a:noFill/>
                        </a:ln>
                      </c14:spPr>
                    </c14:invertSolidFillFmt>
                  </c:ext>
                </c:extLst>
              </c15:ser>
            </c15:filteredBarSeries>
          </c:ext>
        </c:extLst>
      </c:barChart>
      <c:catAx>
        <c:axId val="28598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985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59850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.00_);_(* \(#,##0.0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98468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4480712166172103"/>
          <c:y val="0.1111114425090803"/>
          <c:w val="0.23442136498516319"/>
          <c:h val="0.7929326069089849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037859654335656"/>
          <c:y val="3.70370370370370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7169941691687312E-2"/>
          <c:y val="0.11375690764743418"/>
          <c:w val="0.53396373994990043"/>
          <c:h val="0.74867918288892743"/>
        </c:manualLayout>
      </c:layout>
      <c:pieChart>
        <c:varyColors val="1"/>
        <c:ser>
          <c:idx val="0"/>
          <c:order val="0"/>
          <c:tx>
            <c:strRef>
              <c:f>Revenues!$K$5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604A7B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E46C0A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C3D69B"/>
              </a:solidFill>
              <a:ln w="25400">
                <a:noFill/>
              </a:ln>
            </c:spPr>
          </c:dPt>
          <c:cat>
            <c:strRef>
              <c:f>Revenues!$I$6:$I$14</c:f>
              <c:strCache>
                <c:ptCount val="9"/>
                <c:pt idx="0">
                  <c:v>Taxes</c:v>
                </c:pt>
                <c:pt idx="1">
                  <c:v> Licenses &amp; Permits </c:v>
                </c:pt>
                <c:pt idx="2">
                  <c:v> Federal Government </c:v>
                </c:pt>
                <c:pt idx="3">
                  <c:v> State Government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Forfeitures </c:v>
                </c:pt>
                <c:pt idx="7">
                  <c:v> Interest &amp; Rents </c:v>
                </c:pt>
                <c:pt idx="8">
                  <c:v> Other Revenues </c:v>
                </c:pt>
              </c:strCache>
            </c:strRef>
          </c:cat>
          <c:val>
            <c:numRef>
              <c:f>Revenues!$K$6:$K$14</c:f>
              <c:numCache>
                <c:formatCode>_("$"* #,##0_);_("$"* \(#,##0\);_("$"* "-"_);_(@_)</c:formatCode>
                <c:ptCount val="9"/>
                <c:pt idx="0">
                  <c:v>10227120</c:v>
                </c:pt>
                <c:pt idx="1">
                  <c:v>1237369</c:v>
                </c:pt>
                <c:pt idx="2">
                  <c:v>0</c:v>
                </c:pt>
                <c:pt idx="3">
                  <c:v>3438616</c:v>
                </c:pt>
                <c:pt idx="4">
                  <c:v>54565</c:v>
                </c:pt>
                <c:pt idx="5">
                  <c:v>2356483</c:v>
                </c:pt>
                <c:pt idx="6">
                  <c:v>103692</c:v>
                </c:pt>
                <c:pt idx="7">
                  <c:v>117444</c:v>
                </c:pt>
                <c:pt idx="8">
                  <c:v>2417076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132248799088795"/>
          <c:y val="0.11904796622644391"/>
          <c:w val="0.31132149754865546"/>
          <c:h val="0.822753405824271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622651521921586"/>
          <c:y val="8.9674002281522947E-2"/>
          <c:w val="0.52641654927923043"/>
          <c:h val="0.6277180159706605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Revenues!$J$5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Revenues!$I$6:$I$14</c:f>
              <c:strCache>
                <c:ptCount val="9"/>
                <c:pt idx="0">
                  <c:v>Taxes</c:v>
                </c:pt>
                <c:pt idx="1">
                  <c:v> Licenses &amp; Permits </c:v>
                </c:pt>
                <c:pt idx="2">
                  <c:v> Federal Government </c:v>
                </c:pt>
                <c:pt idx="3">
                  <c:v> State Government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Forfeitures </c:v>
                </c:pt>
                <c:pt idx="7">
                  <c:v> Interest &amp; Rents </c:v>
                </c:pt>
                <c:pt idx="8">
                  <c:v> Other Revenues </c:v>
                </c:pt>
              </c:strCache>
            </c:strRef>
          </c:cat>
          <c:val>
            <c:numRef>
              <c:f>Revenues!$J$6:$J$14</c:f>
              <c:numCache>
                <c:formatCode>_("$"* #,##0_);_("$"* \(#,##0\);_("$"* "-"_);_(@_)</c:formatCode>
                <c:ptCount val="9"/>
                <c:pt idx="0">
                  <c:v>10198174</c:v>
                </c:pt>
                <c:pt idx="1">
                  <c:v>1219794</c:v>
                </c:pt>
                <c:pt idx="2">
                  <c:v>0</c:v>
                </c:pt>
                <c:pt idx="3">
                  <c:v>3273975</c:v>
                </c:pt>
                <c:pt idx="4">
                  <c:v>63343</c:v>
                </c:pt>
                <c:pt idx="5">
                  <c:v>2378845</c:v>
                </c:pt>
                <c:pt idx="6">
                  <c:v>109496</c:v>
                </c:pt>
                <c:pt idx="7">
                  <c:v>91508</c:v>
                </c:pt>
                <c:pt idx="8">
                  <c:v>2673922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Revenues!$K$5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Revenues!$I$6:$I$14</c:f>
              <c:strCache>
                <c:ptCount val="9"/>
                <c:pt idx="0">
                  <c:v>Taxes</c:v>
                </c:pt>
                <c:pt idx="1">
                  <c:v> Licenses &amp; Permits </c:v>
                </c:pt>
                <c:pt idx="2">
                  <c:v> Federal Government </c:v>
                </c:pt>
                <c:pt idx="3">
                  <c:v> State Government </c:v>
                </c:pt>
                <c:pt idx="4">
                  <c:v> Local Contributions </c:v>
                </c:pt>
                <c:pt idx="5">
                  <c:v> Charges for Services </c:v>
                </c:pt>
                <c:pt idx="6">
                  <c:v> Fines &amp; Forfeitures </c:v>
                </c:pt>
                <c:pt idx="7">
                  <c:v> Interest &amp; Rents </c:v>
                </c:pt>
                <c:pt idx="8">
                  <c:v> Other Revenues </c:v>
                </c:pt>
              </c:strCache>
            </c:strRef>
          </c:cat>
          <c:val>
            <c:numRef>
              <c:f>Revenues!$K$6:$K$14</c:f>
              <c:numCache>
                <c:formatCode>_("$"* #,##0_);_("$"* \(#,##0\);_("$"* "-"_);_(@_)</c:formatCode>
                <c:ptCount val="9"/>
                <c:pt idx="0">
                  <c:v>10227120</c:v>
                </c:pt>
                <c:pt idx="1">
                  <c:v>1237369</c:v>
                </c:pt>
                <c:pt idx="2">
                  <c:v>0</c:v>
                </c:pt>
                <c:pt idx="3">
                  <c:v>3438616</c:v>
                </c:pt>
                <c:pt idx="4">
                  <c:v>54565</c:v>
                </c:pt>
                <c:pt idx="5">
                  <c:v>2356483</c:v>
                </c:pt>
                <c:pt idx="6">
                  <c:v>103692</c:v>
                </c:pt>
                <c:pt idx="7">
                  <c:v>117444</c:v>
                </c:pt>
                <c:pt idx="8">
                  <c:v>2417076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79880"/>
        <c:axId val="284539400"/>
      </c:barChart>
      <c:catAx>
        <c:axId val="285379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5394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539400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&quot;$&quot;* #,##0_);_(&quot;$&quot;* \(#,##0\);_(&quot;$&quot;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37988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71320951837831226"/>
                <c:y val="0.82065299057636143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4151042440449658"/>
          <c:y val="0.88858766974780323"/>
          <c:w val="0.23018942207695742"/>
          <c:h val="7.88043478260869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701997617795"/>
          <c:y val="6.5848606975058635E-2"/>
          <c:w val="0.88144454688647123"/>
          <c:h val="0.698199850602639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Expenditures!$H$36</c:f>
              <c:strCache>
                <c:ptCount val="1"/>
                <c:pt idx="0">
                  <c:v> Other Expenditures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1"/>
          <c:cat>
            <c:numRef>
              <c:f>Expenditures!$I$24:$M$24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Expenditures!$I$36:$M$36</c:f>
              <c:numCache>
                <c:formatCode>_(* #,##0_);_(* \(#,##0\);_(* "-"_);_(@_)</c:formatCode>
                <c:ptCount val="5"/>
                <c:pt idx="0">
                  <c:v>3093467</c:v>
                </c:pt>
                <c:pt idx="1">
                  <c:v>2982018</c:v>
                </c:pt>
                <c:pt idx="2">
                  <c:v>2735154</c:v>
                </c:pt>
                <c:pt idx="3">
                  <c:v>2668988</c:v>
                </c:pt>
                <c:pt idx="4">
                  <c:v>4864378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754944"/>
        <c:axId val="283050856"/>
      </c:barChart>
      <c:catAx>
        <c:axId val="28375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30508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305085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375494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6471691038620166"/>
          <c:y val="3.83631713554987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241077767340272E-2"/>
          <c:y val="0.10741701393788705"/>
          <c:w val="0.5146309214981355"/>
          <c:h val="0.76470683731971978"/>
        </c:manualLayout>
      </c:layout>
      <c:pieChart>
        <c:varyColors val="1"/>
        <c:ser>
          <c:idx val="0"/>
          <c:order val="0"/>
          <c:tx>
            <c:strRef>
              <c:f>Expenditures!$K$4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604A7B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339966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9999FF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E46C0A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C3D69B"/>
              </a:solidFill>
              <a:ln w="25400">
                <a:noFill/>
              </a:ln>
            </c:spPr>
          </c:dPt>
          <c:dPt>
            <c:idx val="9"/>
            <c:bubble3D val="0"/>
            <c:spPr>
              <a:solidFill>
                <a:srgbClr val="C0C0C0"/>
              </a:solidFill>
              <a:ln w="25400">
                <a:noFill/>
              </a:ln>
            </c:spPr>
          </c:dPt>
          <c:dPt>
            <c:idx val="10"/>
            <c:bubble3D val="0"/>
            <c:spPr>
              <a:solidFill>
                <a:srgbClr val="91C3D5"/>
              </a:solidFill>
              <a:ln w="25400">
                <a:noFill/>
              </a:ln>
            </c:spPr>
          </c:dPt>
          <c:cat>
            <c:strRef>
              <c:f>Expenditures!$I$5:$I$15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Other Expenditures </c:v>
                </c:pt>
              </c:strCache>
            </c:strRef>
          </c:cat>
          <c:val>
            <c:numRef>
              <c:f>Expenditures!$K$5:$K$15</c:f>
              <c:numCache>
                <c:formatCode>_("$"* #,##0_);_("$"* \(#,##0\);_("$"* "-"??_);_(@_)</c:formatCode>
                <c:ptCount val="11"/>
                <c:pt idx="0">
                  <c:v>1745623</c:v>
                </c:pt>
                <c:pt idx="1">
                  <c:v>5254447</c:v>
                </c:pt>
                <c:pt idx="2">
                  <c:v>392573</c:v>
                </c:pt>
                <c:pt idx="3">
                  <c:v>193064</c:v>
                </c:pt>
                <c:pt idx="4">
                  <c:v>2819889</c:v>
                </c:pt>
                <c:pt idx="5">
                  <c:v>0</c:v>
                </c:pt>
                <c:pt idx="6">
                  <c:v>340292</c:v>
                </c:pt>
                <c:pt idx="7">
                  <c:v>1772415</c:v>
                </c:pt>
                <c:pt idx="8">
                  <c:v>331914</c:v>
                </c:pt>
                <c:pt idx="9">
                  <c:v>0</c:v>
                </c:pt>
                <c:pt idx="10">
                  <c:v>4864378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1273779030633213"/>
          <c:y val="0.10997442455242967"/>
          <c:w val="0.31497486007020203"/>
          <c:h val="0.8337605977002235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7349468215750964"/>
          <c:y val="9.5238464310765103E-2"/>
          <c:w val="0.54044852625556705"/>
          <c:h val="0.6326555129215110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Expenditures!$J$4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strRef>
              <c:f>Expenditures!$I$5:$I$15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Other Expenditures </c:v>
                </c:pt>
              </c:strCache>
            </c:strRef>
          </c:cat>
          <c:val>
            <c:numRef>
              <c:f>Expenditures!$J$5:$J$15</c:f>
              <c:numCache>
                <c:formatCode>_("$"* #,##0_);_("$"* \(#,##0\);_("$"* "-"??_);_(@_)</c:formatCode>
                <c:ptCount val="11"/>
                <c:pt idx="0">
                  <c:v>1682686</c:v>
                </c:pt>
                <c:pt idx="1">
                  <c:v>6952252</c:v>
                </c:pt>
                <c:pt idx="2">
                  <c:v>509627</c:v>
                </c:pt>
                <c:pt idx="3">
                  <c:v>437642</c:v>
                </c:pt>
                <c:pt idx="4">
                  <c:v>2794966</c:v>
                </c:pt>
                <c:pt idx="5">
                  <c:v>0</c:v>
                </c:pt>
                <c:pt idx="6">
                  <c:v>355467</c:v>
                </c:pt>
                <c:pt idx="7">
                  <c:v>1757119</c:v>
                </c:pt>
                <c:pt idx="8">
                  <c:v>1321869</c:v>
                </c:pt>
                <c:pt idx="9">
                  <c:v>0</c:v>
                </c:pt>
                <c:pt idx="10">
                  <c:v>2668988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Expenditures!$K$4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strRef>
              <c:f>Expenditures!$I$5:$I$15</c:f>
              <c:strCache>
                <c:ptCount val="11"/>
                <c:pt idx="0">
                  <c:v> General Government </c:v>
                </c:pt>
                <c:pt idx="1">
                  <c:v> Police &amp; Fire </c:v>
                </c:pt>
                <c:pt idx="2">
                  <c:v> Other Public Safety </c:v>
                </c:pt>
                <c:pt idx="3">
                  <c:v> Roads  </c:v>
                </c:pt>
                <c:pt idx="4">
                  <c:v> Other Public Works </c:v>
                </c:pt>
                <c:pt idx="5">
                  <c:v> Health &amp; Welfare </c:v>
                </c:pt>
                <c:pt idx="6">
                  <c:v> Community/Econ. Development </c:v>
                </c:pt>
                <c:pt idx="7">
                  <c:v> Recreation &amp; Culture </c:v>
                </c:pt>
                <c:pt idx="8">
                  <c:v> Capital Outlay </c:v>
                </c:pt>
                <c:pt idx="9">
                  <c:v> Debt Service </c:v>
                </c:pt>
                <c:pt idx="10">
                  <c:v> Other Expenditures </c:v>
                </c:pt>
              </c:strCache>
            </c:strRef>
          </c:cat>
          <c:val>
            <c:numRef>
              <c:f>Expenditures!$K$5:$K$15</c:f>
              <c:numCache>
                <c:formatCode>_("$"* #,##0_);_("$"* \(#,##0\);_("$"* "-"??_);_(@_)</c:formatCode>
                <c:ptCount val="11"/>
                <c:pt idx="0">
                  <c:v>1745623</c:v>
                </c:pt>
                <c:pt idx="1">
                  <c:v>5254447</c:v>
                </c:pt>
                <c:pt idx="2">
                  <c:v>392573</c:v>
                </c:pt>
                <c:pt idx="3">
                  <c:v>193064</c:v>
                </c:pt>
                <c:pt idx="4">
                  <c:v>2819889</c:v>
                </c:pt>
                <c:pt idx="5">
                  <c:v>0</c:v>
                </c:pt>
                <c:pt idx="6">
                  <c:v>340292</c:v>
                </c:pt>
                <c:pt idx="7">
                  <c:v>1772415</c:v>
                </c:pt>
                <c:pt idx="8">
                  <c:v>331914</c:v>
                </c:pt>
                <c:pt idx="9">
                  <c:v>0</c:v>
                </c:pt>
                <c:pt idx="10">
                  <c:v>4864378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679320"/>
        <c:axId val="284679704"/>
      </c:barChart>
      <c:catAx>
        <c:axId val="284679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6797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467970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467932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7538740589170011"/>
                <c:y val="0.81406211160868258"/>
              </c:manualLayout>
            </c:layout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</c:dispUnitsLbl>
        </c:dispUnits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36660997194627776"/>
          <c:y val="0.90930062313639359"/>
          <c:w val="0.21514675123440885"/>
          <c:h val="6.57599347700584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971781861222176"/>
          <c:y val="6.0367724849077486E-2"/>
          <c:w val="0.72968339514862313"/>
          <c:h val="0.776906371970736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Position!$A$5</c:f>
              <c:strCache>
                <c:ptCount val="1"/>
                <c:pt idx="0">
                  <c:v> Total Revenues </c:v>
                </c:pt>
              </c:strCache>
            </c:strRef>
          </c:tx>
          <c:spPr>
            <a:solidFill>
              <a:srgbClr val="558ED5"/>
            </a:solidFill>
            <a:ln w="25400">
              <a:noFill/>
            </a:ln>
          </c:spPr>
          <c:invertIfNegative val="1"/>
          <c:cat>
            <c:numRef>
              <c:f>Position!$B$4:$F$4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Position!$B$5:$F$5</c:f>
              <c:numCache>
                <c:formatCode>_(* #,##0_);_(* \(#,##0\);_(* "-"_);_(@_)</c:formatCode>
                <c:ptCount val="5"/>
                <c:pt idx="0">
                  <c:v>16646492</c:v>
                </c:pt>
                <c:pt idx="1">
                  <c:v>16766136</c:v>
                </c:pt>
                <c:pt idx="2">
                  <c:v>19489039</c:v>
                </c:pt>
                <c:pt idx="3">
                  <c:v>20009057</c:v>
                </c:pt>
                <c:pt idx="4">
                  <c:v>19952365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Position!$A$6</c:f>
              <c:strCache>
                <c:ptCount val="1"/>
                <c:pt idx="0">
                  <c:v> Total Expenditures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</c:spPr>
          <c:invertIfNegative val="1"/>
          <c:cat>
            <c:numRef>
              <c:f>Position!$B$4:$F$4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Position!$B$6:$F$6</c:f>
              <c:numCache>
                <c:formatCode>_(* #,##0_);_(* \(#,##0\);_(* "-"_);_(@_)</c:formatCode>
                <c:ptCount val="5"/>
                <c:pt idx="0">
                  <c:v>18419100</c:v>
                </c:pt>
                <c:pt idx="1">
                  <c:v>17914660</c:v>
                </c:pt>
                <c:pt idx="2">
                  <c:v>17385102</c:v>
                </c:pt>
                <c:pt idx="3">
                  <c:v>18480616</c:v>
                </c:pt>
                <c:pt idx="4">
                  <c:v>17714595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788624"/>
        <c:axId val="283788232"/>
      </c:barChart>
      <c:lineChart>
        <c:grouping val="standard"/>
        <c:varyColors val="0"/>
        <c:ser>
          <c:idx val="2"/>
          <c:order val="2"/>
          <c:tx>
            <c:strRef>
              <c:f>Position!$A$7</c:f>
              <c:strCache>
                <c:ptCount val="1"/>
                <c:pt idx="0">
                  <c:v> Total Fund Balance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Position!$B$4:$F$4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Position!$B$7:$F$7</c:f>
              <c:numCache>
                <c:formatCode>_(* #,##0_);_(* \(#,##0\);_(* "-"_);_(@_)</c:formatCode>
                <c:ptCount val="5"/>
                <c:pt idx="0">
                  <c:v>10847726</c:v>
                </c:pt>
                <c:pt idx="1">
                  <c:v>9699205</c:v>
                </c:pt>
                <c:pt idx="2">
                  <c:v>11803155</c:v>
                </c:pt>
                <c:pt idx="3">
                  <c:v>13331593</c:v>
                </c:pt>
                <c:pt idx="4">
                  <c:v>15569357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3788624"/>
        <c:axId val="283788232"/>
      </c:lineChart>
      <c:catAx>
        <c:axId val="28378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3788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378823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3788624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6.1837687691865366E-2"/>
          <c:y val="0.92388864777729562"/>
          <c:w val="0.92756369234764369"/>
          <c:h val="6.03677985133748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848097004246377"/>
          <c:y val="6.0274214499469569E-2"/>
          <c:w val="0.77561988007323368"/>
          <c:h val="0.75068794422066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Position!$J$10</c:f>
              <c:strCache>
                <c:ptCount val="1"/>
                <c:pt idx="0">
                  <c:v> Nonspendable 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1"/>
          <c:cat>
            <c:numRef>
              <c:f>Position!$K$9:$L$9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Position!$K$10:$L$10</c:f>
              <c:numCache>
                <c:formatCode>_("$"* #,##0_);_("$"* \(#,##0\);_("$"* "-"??_);_(@_)</c:formatCode>
                <c:ptCount val="2"/>
                <c:pt idx="0">
                  <c:v>317100</c:v>
                </c:pt>
                <c:pt idx="1">
                  <c:v>318102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7C80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Position!$J$11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604B7B"/>
            </a:solidFill>
            <a:ln w="25400">
              <a:noFill/>
            </a:ln>
          </c:spPr>
          <c:invertIfNegative val="1"/>
          <c:cat>
            <c:numRef>
              <c:f>Position!$K$9:$L$9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Position!$K$11:$L$11</c:f>
              <c:numCache>
                <c:formatCode>_("$"* #,##0_);_("$"* \(#,##0\);_("$"* "-"??_);_(@_)</c:formatCode>
                <c:ptCount val="2"/>
                <c:pt idx="0">
                  <c:v>5836495</c:v>
                </c:pt>
                <c:pt idx="1">
                  <c:v>7943412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604B7B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Position!$J$12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1"/>
          <c:cat>
            <c:numRef>
              <c:f>Position!$K$9:$L$9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Position!$K$12:$L$12</c:f>
              <c:numCache>
                <c:formatCode>_("$"* #,##0_);_("$"* \(#,##0\);_("$"* "-"??_);_(@_)</c:formatCode>
                <c:ptCount val="2"/>
                <c:pt idx="0">
                  <c:v>954071</c:v>
                </c:pt>
                <c:pt idx="1">
                  <c:v>979983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339966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Position!$J$13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FCF305"/>
            </a:solidFill>
            <a:ln w="25400">
              <a:noFill/>
            </a:ln>
          </c:spPr>
          <c:invertIfNegative val="1"/>
          <c:cat>
            <c:numRef>
              <c:f>Position!$K$9:$L$9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Position!$K$13:$L$13</c:f>
              <c:numCache>
                <c:formatCode>_("$"* #,##0_);_("$"* \(#,##0\);_("$"* "-"??_);_(@_)</c:formatCode>
                <c:ptCount val="2"/>
                <c:pt idx="0">
                  <c:v>1117773</c:v>
                </c:pt>
                <c:pt idx="1">
                  <c:v>1118003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CF305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Position!$J$14</c:f>
              <c:strCache>
                <c:ptCount val="1"/>
                <c:pt idx="0">
                  <c:v> Unassigned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Position!$K$9:$L$9</c:f>
              <c:numCache>
                <c:formatCode>General</c:formatCode>
                <c:ptCount val="2"/>
                <c:pt idx="0">
                  <c:v>2016</c:v>
                </c:pt>
                <c:pt idx="1">
                  <c:v>2017</c:v>
                </c:pt>
              </c:numCache>
            </c:numRef>
          </c:cat>
          <c:val>
            <c:numRef>
              <c:f>Position!$K$14:$L$14</c:f>
              <c:numCache>
                <c:formatCode>_("$"* #,##0_);_("$"* \(#,##0\);_("$"* "-"??_);_(@_)</c:formatCode>
                <c:ptCount val="2"/>
                <c:pt idx="0">
                  <c:v>5106154</c:v>
                </c:pt>
                <c:pt idx="1">
                  <c:v>5209857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33CCCC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3789408"/>
        <c:axId val="283789800"/>
      </c:barChart>
      <c:catAx>
        <c:axId val="28378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3789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3789800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&quot;$&quot;* #,##0_);_(&quot;$&quot;* \(#,##0\);_(&quot;$&quot;* &quot;-&quot;??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378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5.8303886925795051E-2"/>
          <c:y val="0.92877071872865202"/>
          <c:w val="0.93109726125223746"/>
          <c:h val="4.93154280372487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185310220251417"/>
          <c:y val="6.0274214499469569E-2"/>
          <c:w val="0.79237959334326047"/>
          <c:h val="0.750687944220666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Position!$I$20</c:f>
              <c:strCache>
                <c:ptCount val="1"/>
                <c:pt idx="0">
                  <c:v> Nonspendable </c:v>
                </c:pt>
              </c:strCache>
            </c:strRef>
          </c:tx>
          <c:spPr>
            <a:solidFill>
              <a:srgbClr val="FF7C80"/>
            </a:solidFill>
            <a:ln w="25400">
              <a:noFill/>
            </a:ln>
          </c:spPr>
          <c:invertIfNegative val="1"/>
          <c:cat>
            <c:numRef>
              <c:f>Position!$J$19:$N$19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Position!$J$20:$N$20</c:f>
              <c:numCache>
                <c:formatCode>_(* #,##0_);_(* \(#,##0\);_(* "-"_);_(@_)</c:formatCode>
                <c:ptCount val="5"/>
                <c:pt idx="0">
                  <c:v>411928</c:v>
                </c:pt>
                <c:pt idx="1">
                  <c:v>377249</c:v>
                </c:pt>
                <c:pt idx="2">
                  <c:v>220130</c:v>
                </c:pt>
                <c:pt idx="3">
                  <c:v>317100</c:v>
                </c:pt>
                <c:pt idx="4">
                  <c:v>318102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7C80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1"/>
          <c:order val="1"/>
          <c:tx>
            <c:strRef>
              <c:f>Position!$I$21</c:f>
              <c:strCache>
                <c:ptCount val="1"/>
                <c:pt idx="0">
                  <c:v> Restricted </c:v>
                </c:pt>
              </c:strCache>
            </c:strRef>
          </c:tx>
          <c:spPr>
            <a:solidFill>
              <a:srgbClr val="604A7B"/>
            </a:solidFill>
            <a:ln w="25400">
              <a:noFill/>
            </a:ln>
          </c:spPr>
          <c:invertIfNegative val="1"/>
          <c:cat>
            <c:numRef>
              <c:f>Position!$J$19:$N$19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Position!$J$21:$N$21</c:f>
              <c:numCache>
                <c:formatCode>_(* #,##0_);_(* \(#,##0\);_(* "-"_);_(@_)</c:formatCode>
                <c:ptCount val="5"/>
                <c:pt idx="0">
                  <c:v>5155039</c:v>
                </c:pt>
                <c:pt idx="1">
                  <c:v>4066214</c:v>
                </c:pt>
                <c:pt idx="2">
                  <c:v>5144572</c:v>
                </c:pt>
                <c:pt idx="3">
                  <c:v>5836495</c:v>
                </c:pt>
                <c:pt idx="4">
                  <c:v>7943412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604A7B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Position!$I$22</c:f>
              <c:strCache>
                <c:ptCount val="1"/>
                <c:pt idx="0">
                  <c:v> Committed </c:v>
                </c:pt>
              </c:strCache>
            </c:strRef>
          </c:tx>
          <c:spPr>
            <a:solidFill>
              <a:srgbClr val="339966"/>
            </a:solidFill>
            <a:ln w="25400">
              <a:noFill/>
            </a:ln>
          </c:spPr>
          <c:invertIfNegative val="1"/>
          <c:cat>
            <c:numRef>
              <c:f>Position!$J$19:$N$19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Position!$J$22:$N$22</c:f>
              <c:numCache>
                <c:formatCode>_(* #,##0_);_(* \(#,##0\);_(* "-"_);_(@_)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954071</c:v>
                </c:pt>
                <c:pt idx="4">
                  <c:v>979983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339966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3"/>
          <c:order val="3"/>
          <c:tx>
            <c:strRef>
              <c:f>Position!$I$23</c:f>
              <c:strCache>
                <c:ptCount val="1"/>
                <c:pt idx="0">
                  <c:v> Assigned </c:v>
                </c:pt>
              </c:strCache>
            </c:strRef>
          </c:tx>
          <c:spPr>
            <a:solidFill>
              <a:srgbClr val="FCF305"/>
            </a:solidFill>
            <a:ln w="25400">
              <a:noFill/>
            </a:ln>
          </c:spPr>
          <c:invertIfNegative val="1"/>
          <c:cat>
            <c:numRef>
              <c:f>Position!$J$19:$N$19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Position!$J$23:$N$23</c:f>
              <c:numCache>
                <c:formatCode>_(* #,##0_);_(* \(#,##0\);_(* "-"_);_(@_)</c:formatCode>
                <c:ptCount val="5"/>
                <c:pt idx="0">
                  <c:v>129398</c:v>
                </c:pt>
                <c:pt idx="1">
                  <c:v>166736</c:v>
                </c:pt>
                <c:pt idx="2">
                  <c:v>1104832</c:v>
                </c:pt>
                <c:pt idx="3">
                  <c:v>1117773</c:v>
                </c:pt>
                <c:pt idx="4">
                  <c:v>1118003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CF305"/>
                  </a:solidFill>
                  <a:ln w="25400">
                    <a:noFill/>
                  </a:ln>
                </c14:spPr>
              </c14:invertSolidFillFmt>
            </c:ext>
          </c:extLst>
        </c:ser>
        <c:ser>
          <c:idx val="4"/>
          <c:order val="4"/>
          <c:tx>
            <c:strRef>
              <c:f>Position!$I$24</c:f>
              <c:strCache>
                <c:ptCount val="1"/>
                <c:pt idx="0">
                  <c:v> Unassigned 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1"/>
          <c:cat>
            <c:numRef>
              <c:f>Position!$J$19:$N$19</c:f>
              <c:numCache>
                <c:formatCode>General</c:formatCod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</c:numCache>
            </c:numRef>
          </c:cat>
          <c:val>
            <c:numRef>
              <c:f>Position!$J$24:$N$24</c:f>
              <c:numCache>
                <c:formatCode>_(* #,##0_);_(* \(#,##0\);_(* "-"_);_(@_)</c:formatCode>
                <c:ptCount val="5"/>
                <c:pt idx="0">
                  <c:v>5151361</c:v>
                </c:pt>
                <c:pt idx="1">
                  <c:v>5089006</c:v>
                </c:pt>
                <c:pt idx="2">
                  <c:v>5333621</c:v>
                </c:pt>
                <c:pt idx="3">
                  <c:v>5106154</c:v>
                </c:pt>
                <c:pt idx="4">
                  <c:v>5209857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33CCCC"/>
                  </a:solidFill>
                  <a:ln w="25400">
                    <a:noFill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85535960"/>
        <c:axId val="285536352"/>
      </c:barChart>
      <c:catAx>
        <c:axId val="285535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536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855363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5535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6.1761013447563462E-2"/>
          <c:y val="0.92877071872865202"/>
          <c:w val="0.93035617591165087"/>
          <c:h val="4.931542803724875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33" l="0.70000000000000029" r="0.70000000000000029" t="0.75000000000000033" header="0.30000000000000016" footer="0.30000000000000016"/>
    <c:pageSetup orientation="landscape"/>
  </c:printSettings>
</c:chartSpace>
</file>

<file path=xl/ctrlProps/ctrlProp1.xml><?xml version="1.0" encoding="utf-8"?>
<formControlPr xmlns="http://schemas.microsoft.com/office/spreadsheetml/2009/9/main" objectType="Drop" dropLines="74" dropStyle="combo" dx="26" fmlaLink="$L$20" fmlaRange="$H$22:$H$30" noThreeD="1" sel="6" val="0"/>
</file>

<file path=xl/ctrlProps/ctrlProp2.xml><?xml version="1.0" encoding="utf-8"?>
<formControlPr xmlns="http://schemas.microsoft.com/office/spreadsheetml/2009/9/main" objectType="Drop" dropLines="74" dropStyle="combo" dx="26" fmlaLink="$L$20" fmlaRange="$H$22:$H$30" noThreeD="1" sel="6" val="0"/>
</file>

<file path=xl/ctrlProps/ctrlProp3.xml><?xml version="1.0" encoding="utf-8"?>
<formControlPr xmlns="http://schemas.microsoft.com/office/spreadsheetml/2009/9/main" objectType="Drop" dropLines="74" dropStyle="combo" dx="26" fmlaLink="$I$23" fmlaRange="$H$25:$H$35" noThreeD="1" sel="1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170329</xdr:colOff>
      <xdr:row>18</xdr:row>
      <xdr:rowOff>8966</xdr:rowOff>
    </xdr:from>
    <xdr:to>
      <xdr:col>13</xdr:col>
      <xdr:colOff>125505</xdr:colOff>
      <xdr:row>32</xdr:row>
      <xdr:rowOff>111611</xdr:rowOff>
    </xdr:to>
    <xdr:graphicFrame macro="">
      <xdr:nvGraphicFramePr>
        <xdr:cNvPr id="297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2</xdr:row>
      <xdr:rowOff>7620</xdr:rowOff>
    </xdr:from>
    <xdr:to>
      <xdr:col>4</xdr:col>
      <xdr:colOff>365760</xdr:colOff>
      <xdr:row>16</xdr:row>
      <xdr:rowOff>121920</xdr:rowOff>
    </xdr:to>
    <xdr:graphicFrame macro="">
      <xdr:nvGraphicFramePr>
        <xdr:cNvPr id="29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30480</xdr:colOff>
      <xdr:row>18</xdr:row>
      <xdr:rowOff>45720</xdr:rowOff>
    </xdr:from>
    <xdr:to>
      <xdr:col>4</xdr:col>
      <xdr:colOff>365760</xdr:colOff>
      <xdr:row>32</xdr:row>
      <xdr:rowOff>182880</xdr:rowOff>
    </xdr:to>
    <xdr:graphicFrame macro="">
      <xdr:nvGraphicFramePr>
        <xdr:cNvPr id="297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1051560</xdr:colOff>
          <xdr:row>19</xdr:row>
          <xdr:rowOff>0</xdr:rowOff>
        </xdr:from>
        <xdr:to>
          <xdr:col>8</xdr:col>
          <xdr:colOff>1394460</xdr:colOff>
          <xdr:row>20</xdr:row>
          <xdr:rowOff>45720</xdr:rowOff>
        </xdr:to>
        <xdr:sp macro="" textlink="">
          <xdr:nvSpPr>
            <xdr:cNvPr id="2220" name="Drop Down 172" hidden="1">
              <a:extLst>
                <a:ext uri="{63B3BB69-23CF-44E3-9099-C40C66FF867C}">
                  <a14:compatExt spid="_x0000_s2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1051560</xdr:colOff>
          <xdr:row>19</xdr:row>
          <xdr:rowOff>0</xdr:rowOff>
        </xdr:from>
        <xdr:to>
          <xdr:col>8</xdr:col>
          <xdr:colOff>1394460</xdr:colOff>
          <xdr:row>20</xdr:row>
          <xdr:rowOff>45720</xdr:rowOff>
        </xdr:to>
        <xdr:sp macro="" textlink="">
          <xdr:nvSpPr>
            <xdr:cNvPr id="2722" name="Drop Down 674" hidden="1">
              <a:extLst>
                <a:ext uri="{63B3BB69-23CF-44E3-9099-C40C66FF867C}">
                  <a14:compatExt spid="_x0000_s27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17928</xdr:colOff>
      <xdr:row>20</xdr:row>
      <xdr:rowOff>125508</xdr:rowOff>
    </xdr:from>
    <xdr:to>
      <xdr:col>13</xdr:col>
      <xdr:colOff>89647</xdr:colOff>
      <xdr:row>36</xdr:row>
      <xdr:rowOff>161366</xdr:rowOff>
    </xdr:to>
    <xdr:graphicFrame macro="">
      <xdr:nvGraphicFramePr>
        <xdr:cNvPr id="39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</xdr:colOff>
      <xdr:row>2</xdr:row>
      <xdr:rowOff>38100</xdr:rowOff>
    </xdr:from>
    <xdr:to>
      <xdr:col>4</xdr:col>
      <xdr:colOff>914400</xdr:colOff>
      <xdr:row>17</xdr:row>
      <xdr:rowOff>114300</xdr:rowOff>
    </xdr:to>
    <xdr:graphicFrame macro="">
      <xdr:nvGraphicFramePr>
        <xdr:cNvPr id="39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</xdr:colOff>
      <xdr:row>19</xdr:row>
      <xdr:rowOff>38100</xdr:rowOff>
    </xdr:from>
    <xdr:to>
      <xdr:col>4</xdr:col>
      <xdr:colOff>914400</xdr:colOff>
      <xdr:row>36</xdr:row>
      <xdr:rowOff>160020</xdr:rowOff>
    </xdr:to>
    <xdr:graphicFrame macro="">
      <xdr:nvGraphicFramePr>
        <xdr:cNvPr id="39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1318260</xdr:colOff>
          <xdr:row>20</xdr:row>
          <xdr:rowOff>0</xdr:rowOff>
        </xdr:from>
        <xdr:to>
          <xdr:col>10</xdr:col>
          <xdr:colOff>7620</xdr:colOff>
          <xdr:row>21</xdr:row>
          <xdr:rowOff>68580</xdr:rowOff>
        </xdr:to>
        <xdr:sp macro="" textlink="">
          <xdr:nvSpPr>
            <xdr:cNvPr id="3238" name="Drop Down 166" hidden="1">
              <a:extLst>
                <a:ext uri="{63B3BB69-23CF-44E3-9099-C40C66FF867C}">
                  <a14:compatExt spid="_x0000_s3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29136</xdr:colOff>
      <xdr:row>2</xdr:row>
      <xdr:rowOff>48408</xdr:rowOff>
    </xdr:from>
    <xdr:to>
      <xdr:col>5</xdr:col>
      <xdr:colOff>905436</xdr:colOff>
      <xdr:row>16</xdr:row>
      <xdr:rowOff>147468</xdr:rowOff>
    </xdr:to>
    <xdr:graphicFrame macro="">
      <xdr:nvGraphicFramePr>
        <xdr:cNvPr id="80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30480</xdr:colOff>
      <xdr:row>18</xdr:row>
      <xdr:rowOff>30480</xdr:rowOff>
    </xdr:from>
    <xdr:to>
      <xdr:col>5</xdr:col>
      <xdr:colOff>906780</xdr:colOff>
      <xdr:row>32</xdr:row>
      <xdr:rowOff>144780</xdr:rowOff>
    </xdr:to>
    <xdr:graphicFrame macro="">
      <xdr:nvGraphicFramePr>
        <xdr:cNvPr id="808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267597</xdr:colOff>
      <xdr:row>17</xdr:row>
      <xdr:rowOff>162262</xdr:rowOff>
    </xdr:from>
    <xdr:to>
      <xdr:col>14</xdr:col>
      <xdr:colOff>128195</xdr:colOff>
      <xdr:row>32</xdr:row>
      <xdr:rowOff>88303</xdr:rowOff>
    </xdr:to>
    <xdr:graphicFrame macro="">
      <xdr:nvGraphicFramePr>
        <xdr:cNvPr id="808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176605</xdr:rowOff>
    </xdr:from>
    <xdr:to>
      <xdr:col>7</xdr:col>
      <xdr:colOff>594360</xdr:colOff>
      <xdr:row>16</xdr:row>
      <xdr:rowOff>145677</xdr:rowOff>
    </xdr:to>
    <xdr:graphicFrame macro="">
      <xdr:nvGraphicFramePr>
        <xdr:cNvPr id="29250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20170</xdr:colOff>
      <xdr:row>1</xdr:row>
      <xdr:rowOff>194533</xdr:rowOff>
    </xdr:from>
    <xdr:to>
      <xdr:col>16</xdr:col>
      <xdr:colOff>302110</xdr:colOff>
      <xdr:row>16</xdr:row>
      <xdr:rowOff>163605</xdr:rowOff>
    </xdr:to>
    <xdr:graphicFrame macro="">
      <xdr:nvGraphicFramePr>
        <xdr:cNvPr id="292504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13896</xdr:colOff>
      <xdr:row>2</xdr:row>
      <xdr:rowOff>34514</xdr:rowOff>
    </xdr:from>
    <xdr:to>
      <xdr:col>22</xdr:col>
      <xdr:colOff>524436</xdr:colOff>
      <xdr:row>16</xdr:row>
      <xdr:rowOff>171674</xdr:rowOff>
    </xdr:to>
    <xdr:graphicFrame macro="">
      <xdr:nvGraphicFramePr>
        <xdr:cNvPr id="292504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134471</xdr:colOff>
      <xdr:row>18</xdr:row>
      <xdr:rowOff>4483</xdr:rowOff>
    </xdr:from>
    <xdr:to>
      <xdr:col>13</xdr:col>
      <xdr:colOff>170330</xdr:colOff>
      <xdr:row>32</xdr:row>
      <xdr:rowOff>126403</xdr:rowOff>
    </xdr:to>
    <xdr:graphicFrame macro="">
      <xdr:nvGraphicFramePr>
        <xdr:cNvPr id="292504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48859</xdr:colOff>
      <xdr:row>18</xdr:row>
      <xdr:rowOff>59616</xdr:rowOff>
    </xdr:from>
    <xdr:to>
      <xdr:col>22</xdr:col>
      <xdr:colOff>666079</xdr:colOff>
      <xdr:row>32</xdr:row>
      <xdr:rowOff>196776</xdr:rowOff>
    </xdr:to>
    <xdr:graphicFrame macro="">
      <xdr:nvGraphicFramePr>
        <xdr:cNvPr id="292504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itizens_Guide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 Input"/>
      <sheetName val="Revenues"/>
      <sheetName val="Expenditures"/>
      <sheetName val="Position"/>
      <sheetName val="Obligations"/>
    </sheetNames>
    <sheetDataSet>
      <sheetData sheetId="0"/>
      <sheetData sheetId="1">
        <row r="78">
          <cell r="C78" t="str">
            <v>Rob Grose, Township Manager</v>
          </cell>
        </row>
        <row r="79">
          <cell r="C79" t="str">
            <v>(989) 791-9800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77"/>
  <sheetViews>
    <sheetView topLeftCell="A32" zoomScaleNormal="100" workbookViewId="0">
      <selection activeCell="H6" sqref="H6:H8"/>
    </sheetView>
  </sheetViews>
  <sheetFormatPr defaultColWidth="9" defaultRowHeight="15" customHeight="1"/>
  <cols>
    <col min="1" max="1" width="38.44140625" style="31" customWidth="1"/>
    <col min="2" max="6" width="16.33203125" style="15" customWidth="1"/>
    <col min="7" max="7" width="11" style="15" customWidth="1"/>
    <col min="8" max="8" width="10.109375" style="15" customWidth="1"/>
    <col min="9" max="16384" width="9" style="15"/>
  </cols>
  <sheetData>
    <row r="1" spans="1:8" ht="15" customHeight="1">
      <c r="A1" s="146" t="s">
        <v>27</v>
      </c>
      <c r="B1" s="146"/>
      <c r="C1" s="146"/>
      <c r="D1" s="146"/>
      <c r="E1" s="146"/>
      <c r="F1" s="146"/>
      <c r="G1" s="146"/>
      <c r="H1" s="146"/>
    </row>
    <row r="2" spans="1:8" ht="15" customHeight="1">
      <c r="A2" s="35"/>
      <c r="G2" s="16" t="s">
        <v>83</v>
      </c>
      <c r="H2" s="17"/>
    </row>
    <row r="3" spans="1:8" s="18" customFormat="1" ht="17.25" customHeight="1">
      <c r="A3" s="36"/>
      <c r="B3" s="18">
        <f>'F-65 Cross-walk'!F1</f>
        <v>2013</v>
      </c>
      <c r="C3" s="18">
        <f>'F-65 Cross-walk'!G1</f>
        <v>2014</v>
      </c>
      <c r="D3" s="18">
        <f>'F-65 Cross-walk'!H1</f>
        <v>2015</v>
      </c>
      <c r="E3" s="18">
        <v>2016</v>
      </c>
      <c r="F3" s="18">
        <v>2017</v>
      </c>
      <c r="G3" s="18">
        <v>2016</v>
      </c>
      <c r="H3" s="18">
        <v>2017</v>
      </c>
    </row>
    <row r="4" spans="1:8" ht="28.8">
      <c r="A4" s="33" t="s">
        <v>109</v>
      </c>
      <c r="D4" s="19"/>
      <c r="E4" s="19"/>
      <c r="F4" s="19"/>
    </row>
    <row r="5" spans="1:8" ht="15" customHeight="1">
      <c r="A5" s="37" t="s">
        <v>22</v>
      </c>
      <c r="B5" s="32"/>
      <c r="C5" s="32"/>
      <c r="D5" s="32"/>
      <c r="E5" s="32"/>
      <c r="F5" s="32"/>
      <c r="G5" s="32"/>
      <c r="H5" s="32"/>
    </row>
    <row r="6" spans="1:8" ht="15" customHeight="1">
      <c r="A6" s="51" t="s">
        <v>138</v>
      </c>
      <c r="B6" s="52">
        <f>SUMIF('F-65 Cross-walk'!C4:C76,'Data Input'!A6,'F-65 Cross-walk'!F4:F76)</f>
        <v>6873527</v>
      </c>
      <c r="C6" s="52">
        <f>SUMIF('F-65 Cross-walk'!C4:C76,'Data Input'!A6,'F-65 Cross-walk'!G4:G76)</f>
        <v>6876832</v>
      </c>
      <c r="D6" s="52">
        <f>SUMIF('F-65 Cross-walk'!C4:C76,'Data Input'!A6,'F-65 Cross-walk'!H4:H76)</f>
        <v>9885671</v>
      </c>
      <c r="E6" s="53">
        <v>10198174</v>
      </c>
      <c r="F6" s="53">
        <v>10227120</v>
      </c>
      <c r="G6" s="53">
        <v>253</v>
      </c>
      <c r="H6" s="53">
        <f>ROUND(F6/F66,0)</f>
        <v>254</v>
      </c>
    </row>
    <row r="7" spans="1:8" ht="15" customHeight="1">
      <c r="A7" s="54" t="s">
        <v>41</v>
      </c>
      <c r="B7" s="55">
        <f>SUMIF('F-65 Cross-walk'!C4:C76,'Data Input'!A7,'F-65 Cross-walk'!F4:F76)</f>
        <v>1109325</v>
      </c>
      <c r="C7" s="55">
        <f>SUMIF('F-65 Cross-walk'!C4:C76,'Data Input'!A7,'F-65 Cross-walk'!G4:G76)</f>
        <v>1131191</v>
      </c>
      <c r="D7" s="55">
        <f>SUMIF('F-65 Cross-walk'!C4:C76,'Data Input'!A7,'F-65 Cross-walk'!H4:H76)</f>
        <v>1198689</v>
      </c>
      <c r="E7" s="53">
        <v>1219794</v>
      </c>
      <c r="F7" s="53">
        <v>1237369</v>
      </c>
      <c r="G7" s="53">
        <v>30</v>
      </c>
      <c r="H7" s="53">
        <f>ROUND(F7/F66,0)</f>
        <v>31</v>
      </c>
    </row>
    <row r="8" spans="1:8" ht="15" customHeight="1">
      <c r="A8" s="54" t="s">
        <v>91</v>
      </c>
      <c r="B8" s="55">
        <f>SUMIF('F-65 Cross-walk'!C4:C76,'Data Input'!A8,'F-65 Cross-walk'!F4:F76)</f>
        <v>63216</v>
      </c>
      <c r="C8" s="55">
        <f>SUMIF('F-65 Cross-walk'!C4:C76,'Data Input'!A8,'F-65 Cross-walk'!G4:G76)</f>
        <v>363723</v>
      </c>
      <c r="D8" s="55">
        <f>SUMIF('F-65 Cross-walk'!C4:C76,'Data Input'!A8,'F-65 Cross-walk'!H4:H76)</f>
        <v>32846</v>
      </c>
      <c r="E8" s="53"/>
      <c r="F8" s="53"/>
      <c r="G8" s="53">
        <f>-G981</f>
        <v>0</v>
      </c>
      <c r="H8" s="53">
        <f>ROUND(F8/F66,0)</f>
        <v>0</v>
      </c>
    </row>
    <row r="9" spans="1:8" ht="15" customHeight="1">
      <c r="A9" s="54" t="s">
        <v>6</v>
      </c>
      <c r="B9" s="55">
        <f>SUMIF('F-65 Cross-walk'!C4:C76,'Data Input'!A9,'F-65 Cross-walk'!F4:F76)</f>
        <v>3116611</v>
      </c>
      <c r="C9" s="55">
        <f>SUMIF('F-65 Cross-walk'!C4:C76,'Data Input'!A9,'F-65 Cross-walk'!G4:G76)</f>
        <v>3147745</v>
      </c>
      <c r="D9" s="55">
        <f>SUMIF('F-65 Cross-walk'!C4:C76,'Data Input'!A9,'F-65 Cross-walk'!H4:H76)</f>
        <v>3346808</v>
      </c>
      <c r="E9" s="53">
        <v>3273975</v>
      </c>
      <c r="F9" s="53">
        <v>3438616</v>
      </c>
      <c r="G9" s="53">
        <v>81</v>
      </c>
      <c r="H9" s="53">
        <f>ROUND(F9/F66,0)</f>
        <v>85</v>
      </c>
    </row>
    <row r="10" spans="1:8" ht="15" customHeight="1">
      <c r="A10" s="54" t="s">
        <v>73</v>
      </c>
      <c r="B10" s="55">
        <f>SUMIF('F-65 Cross-walk'!C4:C76,'Data Input'!A10,'F-65 Cross-walk'!F4:F76)</f>
        <v>41999</v>
      </c>
      <c r="C10" s="55">
        <f>SUMIF('F-65 Cross-walk'!C4:C76,'Data Input'!A10,'F-65 Cross-walk'!G4:G76)</f>
        <v>37369</v>
      </c>
      <c r="D10" s="55">
        <f>SUMIF('F-65 Cross-walk'!C4:C76,'Data Input'!A10,'F-65 Cross-walk'!H4:H76)</f>
        <v>63751</v>
      </c>
      <c r="E10" s="53">
        <v>63343</v>
      </c>
      <c r="F10" s="53">
        <v>54565</v>
      </c>
      <c r="G10" s="53">
        <v>2</v>
      </c>
      <c r="H10" s="53">
        <f>ROUND(F10/F66,0)</f>
        <v>1</v>
      </c>
    </row>
    <row r="11" spans="1:8" ht="15" customHeight="1">
      <c r="A11" s="54" t="s">
        <v>161</v>
      </c>
      <c r="B11" s="55">
        <f>SUMIF('F-65 Cross-walk'!C4:C76,'Data Input'!A11,'F-65 Cross-walk'!F4:F76)</f>
        <v>2046548</v>
      </c>
      <c r="C11" s="55">
        <f>SUMIF('F-65 Cross-walk'!C4:C76,'Data Input'!A11,'F-65 Cross-walk'!G4:G76)</f>
        <v>2030569</v>
      </c>
      <c r="D11" s="55">
        <f>SUMIF('F-65 Cross-walk'!C4:C76,'Data Input'!A11,'F-65 Cross-walk'!H4:H76)</f>
        <v>2034569</v>
      </c>
      <c r="E11" s="53">
        <v>2378845</v>
      </c>
      <c r="F11" s="53">
        <v>2356483</v>
      </c>
      <c r="G11" s="53">
        <v>59</v>
      </c>
      <c r="H11" s="53">
        <f>ROUND(F11/F66,0)</f>
        <v>59</v>
      </c>
    </row>
    <row r="12" spans="1:8" ht="15" customHeight="1">
      <c r="A12" s="54" t="s">
        <v>0</v>
      </c>
      <c r="B12" s="55">
        <f>SUMIF('F-65 Cross-walk'!C4:C76,'Data Input'!A12,'F-65 Cross-walk'!F4:F76)</f>
        <v>134633</v>
      </c>
      <c r="C12" s="55">
        <f>SUMIF('F-65 Cross-walk'!C4:C76,'Data Input'!A12,'F-65 Cross-walk'!G4:G76)</f>
        <v>125726</v>
      </c>
      <c r="D12" s="55">
        <f>SUMIF('F-65 Cross-walk'!C4:C76,'Data Input'!A12,'F-65 Cross-walk'!H4:H76)</f>
        <v>110662</v>
      </c>
      <c r="E12" s="53">
        <v>109496</v>
      </c>
      <c r="F12" s="53">
        <v>103692</v>
      </c>
      <c r="G12" s="53">
        <v>3</v>
      </c>
      <c r="H12" s="53">
        <f>ROUND(F12/F66,0)</f>
        <v>3</v>
      </c>
    </row>
    <row r="13" spans="1:8" ht="15" customHeight="1">
      <c r="A13" s="54" t="s">
        <v>119</v>
      </c>
      <c r="B13" s="55">
        <f>SUMIF('F-65 Cross-walk'!C4:C76,'Data Input'!A13,'F-65 Cross-walk'!F4:F76)</f>
        <v>132769</v>
      </c>
      <c r="C13" s="55">
        <f>SUMIF('F-65 Cross-walk'!C4:C76,'Data Input'!A13,'F-65 Cross-walk'!G4:G76)</f>
        <v>110728</v>
      </c>
      <c r="D13" s="55">
        <f>SUMIF('F-65 Cross-walk'!C4:C76,'Data Input'!A13,'F-65 Cross-walk'!H4:H76)</f>
        <v>89885</v>
      </c>
      <c r="E13" s="53">
        <v>91508</v>
      </c>
      <c r="F13" s="53">
        <v>117444</v>
      </c>
      <c r="G13" s="53">
        <v>2</v>
      </c>
      <c r="H13" s="53">
        <f>ROUND(F13/F66,0)</f>
        <v>3</v>
      </c>
    </row>
    <row r="14" spans="1:8" ht="15" customHeight="1">
      <c r="A14" s="57" t="s">
        <v>1</v>
      </c>
      <c r="B14" s="58">
        <f>SUMIF('F-65 Cross-walk'!C4:C76,'Data Input'!A14,'F-65 Cross-walk'!F4:F76)</f>
        <v>3127864</v>
      </c>
      <c r="C14" s="58">
        <f>SUMIF('F-65 Cross-walk'!C4:C76,'Data Input'!A14,'F-65 Cross-walk'!G4:G76)</f>
        <v>2942253</v>
      </c>
      <c r="D14" s="58">
        <f>SUMIF('F-65 Cross-walk'!C4:C76,'Data Input'!A14,'F-65 Cross-walk'!H4:H76)</f>
        <v>2726158</v>
      </c>
      <c r="E14" s="137">
        <v>2673922</v>
      </c>
      <c r="F14" s="137">
        <v>2417076</v>
      </c>
      <c r="G14" s="53">
        <v>66</v>
      </c>
      <c r="H14" s="53">
        <f>ROUND(F14/F66,0)</f>
        <v>60</v>
      </c>
    </row>
    <row r="15" spans="1:8" ht="15" customHeight="1">
      <c r="A15" s="39" t="s">
        <v>112</v>
      </c>
      <c r="B15" s="41">
        <f>SUM(B6:B14)</f>
        <v>16646492</v>
      </c>
      <c r="C15" s="41">
        <f>SUM(C6:C14)</f>
        <v>16766136</v>
      </c>
      <c r="D15" s="41">
        <f>SUM(D6:D14)</f>
        <v>19489039</v>
      </c>
      <c r="E15" s="41">
        <f>SUM(E6:E14)</f>
        <v>20009057</v>
      </c>
      <c r="F15" s="41">
        <f>SUM(F6:F14)</f>
        <v>19952365</v>
      </c>
      <c r="G15" s="53">
        <v>496</v>
      </c>
      <c r="H15" s="53">
        <f>ROUND(F15/F66,0)</f>
        <v>495</v>
      </c>
    </row>
    <row r="16" spans="1:8" ht="15" customHeight="1">
      <c r="A16" s="37" t="s">
        <v>199</v>
      </c>
      <c r="B16" s="21"/>
      <c r="C16" s="21"/>
      <c r="D16" s="21"/>
      <c r="G16" s="53"/>
      <c r="H16" s="53"/>
    </row>
    <row r="17" spans="1:8" ht="15" customHeight="1">
      <c r="A17" s="51" t="s">
        <v>58</v>
      </c>
      <c r="B17" s="52">
        <f>SUMIF('F-65 Cross-walk'!C78:C126,'Data Input'!A17,'F-65 Cross-walk'!F78:F126)</f>
        <v>1582054</v>
      </c>
      <c r="C17" s="52">
        <f>SUMIF('F-65 Cross-walk'!C78:C126,'Data Input'!A17,'F-65 Cross-walk'!G78:G126)</f>
        <v>1615985</v>
      </c>
      <c r="D17" s="52">
        <f>SUMIF('F-65 Cross-walk'!C78:C126,'Data Input'!A17,'F-65 Cross-walk'!H78:H126)</f>
        <v>1741645</v>
      </c>
      <c r="E17" s="53">
        <v>1682686</v>
      </c>
      <c r="F17" s="53">
        <v>1745623</v>
      </c>
      <c r="G17" s="53">
        <v>42</v>
      </c>
      <c r="H17" s="53">
        <f>ROUND(F17/F66,0)</f>
        <v>43</v>
      </c>
    </row>
    <row r="18" spans="1:8" ht="15" customHeight="1">
      <c r="A18" s="54" t="s">
        <v>61</v>
      </c>
      <c r="B18" s="55">
        <f>SUMIF('F-65 Cross-walk'!C78:C126,'Data Input'!A18,'F-65 Cross-walk'!F78:F126)</f>
        <v>6916650</v>
      </c>
      <c r="C18" s="55">
        <f>SUMIF('F-65 Cross-walk'!C78:C126,'Data Input'!A18,'F-65 Cross-walk'!G78:G126)</f>
        <v>7079715</v>
      </c>
      <c r="D18" s="55">
        <f>SUMIF('F-65 Cross-walk'!C78:C126,'Data Input'!A18,'F-65 Cross-walk'!H78:H126)</f>
        <v>7030430</v>
      </c>
      <c r="E18" s="53">
        <v>6952252</v>
      </c>
      <c r="F18" s="53">
        <v>5254447</v>
      </c>
      <c r="G18" s="53">
        <v>172</v>
      </c>
      <c r="H18" s="53">
        <f>ROUND(F18/F66,0)</f>
        <v>130</v>
      </c>
    </row>
    <row r="19" spans="1:8" ht="15" customHeight="1">
      <c r="A19" s="54" t="s">
        <v>125</v>
      </c>
      <c r="B19" s="55">
        <f>SUMIF('F-65 Cross-walk'!C78:C126,'Data Input'!A19,'F-65 Cross-walk'!F78:F126)</f>
        <v>498011</v>
      </c>
      <c r="C19" s="55">
        <f>SUMIF('F-65 Cross-walk'!C78:C126,'Data Input'!A19,'F-65 Cross-walk'!G78:G126)</f>
        <v>471888</v>
      </c>
      <c r="D19" s="55">
        <f>SUMIF('F-65 Cross-walk'!C78:C126,'Data Input'!A19,'F-65 Cross-walk'!H78:H126)</f>
        <v>536873</v>
      </c>
      <c r="E19" s="53">
        <v>509627</v>
      </c>
      <c r="F19" s="53">
        <v>392573</v>
      </c>
      <c r="G19" s="53">
        <v>13</v>
      </c>
      <c r="H19" s="53">
        <f>ROUND(F19/F66,0)</f>
        <v>10</v>
      </c>
    </row>
    <row r="20" spans="1:8" ht="15" customHeight="1">
      <c r="A20" s="54" t="s">
        <v>175</v>
      </c>
      <c r="B20" s="55">
        <f>SUMIF('F-65 Cross-walk'!C78:C126,'Data Input'!A20,'F-65 Cross-walk'!F78:F126)</f>
        <v>65493</v>
      </c>
      <c r="C20" s="55">
        <f>SUMIF('F-65 Cross-walk'!C78:C126,'Data Input'!A20,'F-65 Cross-walk'!G78:G126)</f>
        <v>44824</v>
      </c>
      <c r="D20" s="55">
        <f>SUMIF('F-65 Cross-walk'!C78:C126,'Data Input'!A20,'F-65 Cross-walk'!H78:H126)</f>
        <v>74968</v>
      </c>
      <c r="E20" s="53">
        <v>437642</v>
      </c>
      <c r="F20" s="53">
        <v>193064</v>
      </c>
      <c r="G20" s="53">
        <v>11</v>
      </c>
      <c r="H20" s="53">
        <f>ROUND(F20/F66,0)</f>
        <v>5</v>
      </c>
    </row>
    <row r="21" spans="1:8" ht="15" customHeight="1">
      <c r="A21" s="54" t="s">
        <v>46</v>
      </c>
      <c r="B21" s="55">
        <f>SUMIF('F-65 Cross-walk'!C78:C126,'Data Input'!A21,'F-65 Cross-walk'!F78:F126)</f>
        <v>2489773</v>
      </c>
      <c r="C21" s="55">
        <f>SUMIF('F-65 Cross-walk'!C78:C126,'Data Input'!A21,'F-65 Cross-walk'!G78:G126)</f>
        <v>2737859</v>
      </c>
      <c r="D21" s="55">
        <f>SUMIF('F-65 Cross-walk'!C78:C126,'Data Input'!A21,'F-65 Cross-walk'!H78:H126)</f>
        <v>2712636</v>
      </c>
      <c r="E21" s="53">
        <v>2794966</v>
      </c>
      <c r="F21" s="53">
        <v>2819889</v>
      </c>
      <c r="G21" s="53">
        <v>69</v>
      </c>
      <c r="H21" s="53">
        <f>ROUND(F21/F66,0)</f>
        <v>70</v>
      </c>
    </row>
    <row r="22" spans="1:8" ht="15" customHeight="1">
      <c r="A22" s="54" t="s">
        <v>9</v>
      </c>
      <c r="B22" s="55">
        <f>SUMIF('F-65 Cross-walk'!C78:C126,'Data Input'!A22,'F-65 Cross-walk'!F78:F126)</f>
        <v>0</v>
      </c>
      <c r="C22" s="55">
        <f>SUMIF('F-65 Cross-walk'!C78:C126,'Data Input'!A22,'F-65 Cross-walk'!G78:G126)</f>
        <v>0</v>
      </c>
      <c r="D22" s="55">
        <f>SUMIF('F-65 Cross-walk'!C78:C126,'Data Input'!A22,'F-65 Cross-walk'!H78:H126)</f>
        <v>0</v>
      </c>
      <c r="E22" s="53">
        <v>0</v>
      </c>
      <c r="F22" s="53">
        <f>-F2</f>
        <v>0</v>
      </c>
      <c r="G22" s="53">
        <f>(HLOOKUP($G$3,$B$3:$D$64,20))/(HLOOKUP($G$3,$B$3:$D$66,64))</f>
        <v>0</v>
      </c>
      <c r="H22" s="53">
        <f>ROUND(F22/F66,0)</f>
        <v>0</v>
      </c>
    </row>
    <row r="23" spans="1:8" ht="15" customHeight="1">
      <c r="A23" s="54" t="s">
        <v>204</v>
      </c>
      <c r="B23" s="55">
        <f>SUMIF('F-65 Cross-walk'!C78:C126,'Data Input'!A23,'F-65 Cross-walk'!F78:F126)</f>
        <v>303858</v>
      </c>
      <c r="C23" s="55">
        <f>SUMIF('F-65 Cross-walk'!C78:C126,'Data Input'!A23,'F-65 Cross-walk'!G78:G126)</f>
        <v>313899</v>
      </c>
      <c r="D23" s="55">
        <f>SUMIF('F-65 Cross-walk'!C78:C126,'Data Input'!A23,'F-65 Cross-walk'!H78:H126)</f>
        <v>363918</v>
      </c>
      <c r="E23" s="53">
        <v>355467</v>
      </c>
      <c r="F23" s="53">
        <v>340292</v>
      </c>
      <c r="G23" s="53">
        <v>9</v>
      </c>
      <c r="H23" s="53">
        <f>ROUND(F23/F66,0)</f>
        <v>8</v>
      </c>
    </row>
    <row r="24" spans="1:8" ht="15" customHeight="1">
      <c r="A24" s="54" t="s">
        <v>165</v>
      </c>
      <c r="B24" s="55">
        <f>SUMIF('F-65 Cross-walk'!C78:C126,'Data Input'!A24,'F-65 Cross-walk'!F78:F126)</f>
        <v>1789707</v>
      </c>
      <c r="C24" s="55">
        <f>SUMIF('F-65 Cross-walk'!C78:C126,'Data Input'!A24,'F-65 Cross-walk'!G78:G126)</f>
        <v>1719566</v>
      </c>
      <c r="D24" s="55">
        <f>SUMIF('F-65 Cross-walk'!C78:C126,'Data Input'!A24,'F-65 Cross-walk'!H78:H126)</f>
        <v>1780020</v>
      </c>
      <c r="E24" s="53">
        <v>1757119</v>
      </c>
      <c r="F24" s="53">
        <v>1772415</v>
      </c>
      <c r="G24" s="53">
        <v>44</v>
      </c>
      <c r="H24" s="53">
        <f>ROUND(F24/F66,0)</f>
        <v>44</v>
      </c>
    </row>
    <row r="25" spans="1:8" ht="15" customHeight="1">
      <c r="A25" s="54" t="s">
        <v>110</v>
      </c>
      <c r="B25" s="55">
        <f>SUMIF('F-65 Cross-walk'!C78:C126,'Data Input'!A25,'F-65 Cross-walk'!F78:F126)</f>
        <v>1680087</v>
      </c>
      <c r="C25" s="55">
        <f>SUMIF('F-65 Cross-walk'!C78:C126,'Data Input'!A25,'F-65 Cross-walk'!G78:G126)</f>
        <v>948906</v>
      </c>
      <c r="D25" s="55">
        <f>SUMIF('F-65 Cross-walk'!C78:C126,'Data Input'!A25,'F-65 Cross-walk'!H78:H126)</f>
        <v>409458</v>
      </c>
      <c r="E25" s="53">
        <v>1321869</v>
      </c>
      <c r="F25" s="53">
        <v>331914</v>
      </c>
      <c r="G25" s="53">
        <v>33</v>
      </c>
      <c r="H25" s="53">
        <f>ROUND(F25/F66,0)</f>
        <v>8</v>
      </c>
    </row>
    <row r="26" spans="1:8" ht="15" customHeight="1">
      <c r="A26" s="54" t="s">
        <v>167</v>
      </c>
      <c r="B26" s="55">
        <f>SUMIF('F-65 Cross-walk'!C78:C126,'Data Input'!A26,'F-65 Cross-walk'!F78:F126)</f>
        <v>0</v>
      </c>
      <c r="C26" s="55">
        <f>SUMIF('F-65 Cross-walk'!C78:C126,'Data Input'!A26,'F-65 Cross-walk'!G78:G126)</f>
        <v>0</v>
      </c>
      <c r="D26" s="55">
        <f>SUMIF('F-65 Cross-walk'!C78:C126,'Data Input'!A26,'F-65 Cross-walk'!H78:H126)</f>
        <v>0</v>
      </c>
      <c r="E26" s="53">
        <v>0</v>
      </c>
      <c r="F26" s="144" t="s">
        <v>210</v>
      </c>
      <c r="G26" s="53">
        <f>(HLOOKUP($G$3,$B$3:$D$64,24))/(HLOOKUP($G$3,$B$3:$D$66,64))</f>
        <v>0</v>
      </c>
      <c r="H26" s="144" t="s">
        <v>210</v>
      </c>
    </row>
    <row r="27" spans="1:8" ht="15" customHeight="1">
      <c r="A27" s="59" t="s">
        <v>128</v>
      </c>
      <c r="B27" s="58">
        <f>SUMIF('F-65 Cross-walk'!C78:C126,'Data Input'!A27,'F-65 Cross-walk'!F78:F126)</f>
        <v>3093467</v>
      </c>
      <c r="C27" s="58">
        <f>SUMIF('F-65 Cross-walk'!C78:C126,'Data Input'!A27,'F-65 Cross-walk'!G78:G126)</f>
        <v>2982018</v>
      </c>
      <c r="D27" s="58">
        <f>SUMIF('F-65 Cross-walk'!C78:C126,'Data Input'!A27,'F-65 Cross-walk'!H78:H126)</f>
        <v>2735154</v>
      </c>
      <c r="E27" s="137">
        <v>2668988</v>
      </c>
      <c r="F27" s="145">
        <v>4864378</v>
      </c>
      <c r="G27" s="53">
        <v>66</v>
      </c>
      <c r="H27" s="53">
        <f>ROUND(F27/F66,0)</f>
        <v>121</v>
      </c>
    </row>
    <row r="28" spans="1:8" ht="15" customHeight="1">
      <c r="A28" s="39" t="s">
        <v>169</v>
      </c>
      <c r="B28" s="41">
        <f>SUM(B17:B27)</f>
        <v>18419100</v>
      </c>
      <c r="C28" s="41">
        <f>SUM(C17:C27)</f>
        <v>17914660</v>
      </c>
      <c r="D28" s="41">
        <f>SUM(D17:D27)</f>
        <v>17385102</v>
      </c>
      <c r="E28" s="41">
        <f>SUM(E17:E27)</f>
        <v>18480616</v>
      </c>
      <c r="F28" s="41">
        <f>SUM(F17:F27)</f>
        <v>17714595</v>
      </c>
      <c r="G28" s="53">
        <v>458</v>
      </c>
      <c r="H28" s="53">
        <f>ROUND(F28/F66,0)</f>
        <v>440</v>
      </c>
    </row>
    <row r="29" spans="1:8" ht="15.75" customHeight="1" thickBot="1">
      <c r="A29" s="40" t="s">
        <v>202</v>
      </c>
      <c r="B29" s="42">
        <f>+B15-B28</f>
        <v>-1772608</v>
      </c>
      <c r="C29" s="42">
        <f>+C15-C28</f>
        <v>-1148524</v>
      </c>
      <c r="D29" s="42">
        <f>+D15-D28</f>
        <v>2103937</v>
      </c>
      <c r="E29" s="42">
        <f>+E15-E28</f>
        <v>1528441</v>
      </c>
      <c r="F29" s="42">
        <f>+F15-F28</f>
        <v>2237770</v>
      </c>
      <c r="G29" s="53">
        <v>38</v>
      </c>
      <c r="H29" s="53">
        <f>ROUND(F29/F66,0)</f>
        <v>56</v>
      </c>
    </row>
    <row r="30" spans="1:8" ht="29.4" thickTop="1">
      <c r="A30" s="33" t="s">
        <v>42</v>
      </c>
      <c r="G30" s="53"/>
      <c r="H30" s="53"/>
    </row>
    <row r="31" spans="1:8" ht="15" customHeight="1">
      <c r="A31" s="51" t="s">
        <v>51</v>
      </c>
      <c r="B31" s="52">
        <f>SUMIF('F-65 Cross-walk'!C130:C134,'Data Input'!A31,'F-65 Cross-walk'!F130:F134)</f>
        <v>411928</v>
      </c>
      <c r="C31" s="52">
        <f>SUMIF('F-65 Cross-walk'!C130:C134,'Data Input'!A31,'F-65 Cross-walk'!G130:G134)</f>
        <v>377249</v>
      </c>
      <c r="D31" s="52">
        <v>220130</v>
      </c>
      <c r="E31" s="53">
        <v>317100</v>
      </c>
      <c r="F31" s="53">
        <v>318102</v>
      </c>
      <c r="G31" s="53">
        <v>8</v>
      </c>
      <c r="H31" s="53">
        <f>ROUND(F31/F66,0)</f>
        <v>8</v>
      </c>
    </row>
    <row r="32" spans="1:8" ht="15" customHeight="1">
      <c r="A32" s="54" t="s">
        <v>127</v>
      </c>
      <c r="B32" s="55">
        <f>SUMIF('F-65 Cross-walk'!C130:C134,'Data Input'!A32,'F-65 Cross-walk'!F130:F134)</f>
        <v>5155039</v>
      </c>
      <c r="C32" s="55">
        <f>SUMIF('F-65 Cross-walk'!C130:C134,'Data Input'!A32,'F-65 Cross-walk'!G130:G134)</f>
        <v>4066214</v>
      </c>
      <c r="D32" s="55">
        <v>5144572</v>
      </c>
      <c r="E32" s="53">
        <v>5836495</v>
      </c>
      <c r="F32" s="53">
        <v>7943412</v>
      </c>
      <c r="G32" s="53">
        <v>145</v>
      </c>
      <c r="H32" s="53">
        <f>ROUND(F32/F66,0)</f>
        <v>197</v>
      </c>
    </row>
    <row r="33" spans="1:9" ht="15" customHeight="1">
      <c r="A33" s="54" t="s">
        <v>23</v>
      </c>
      <c r="B33" s="55">
        <f>SUMIF('F-65 Cross-walk'!C130:C134,'Data Input'!A33,'F-65 Cross-walk'!F130:F134)</f>
        <v>0</v>
      </c>
      <c r="C33" s="55">
        <f>SUMIF('F-65 Cross-walk'!C130:C134,'Data Input'!A33,'F-65 Cross-walk'!G130:G134)</f>
        <v>0</v>
      </c>
      <c r="D33" s="55">
        <f>SUMIF('F-65 Cross-walk'!C130:C134,'Data Input'!A33,'F-65 Cross-walk'!H130:H134)</f>
        <v>0</v>
      </c>
      <c r="E33" s="53">
        <v>954071</v>
      </c>
      <c r="F33" s="53">
        <v>979983</v>
      </c>
      <c r="G33" s="53">
        <v>24</v>
      </c>
      <c r="H33" s="53">
        <f>ROUND(F33/F66,0)</f>
        <v>24</v>
      </c>
    </row>
    <row r="34" spans="1:9" ht="15" customHeight="1">
      <c r="A34" s="54" t="s">
        <v>136</v>
      </c>
      <c r="B34" s="55">
        <f>SUMIF('F-65 Cross-walk'!C130:C134,'Data Input'!A34,'F-65 Cross-walk'!F130:F134)</f>
        <v>129398</v>
      </c>
      <c r="C34" s="55">
        <f>SUMIF('F-65 Cross-walk'!C130:C134,'Data Input'!A34,'F-65 Cross-walk'!G130:G134)</f>
        <v>166736</v>
      </c>
      <c r="D34" s="55">
        <v>1104832</v>
      </c>
      <c r="E34" s="53">
        <v>1117773</v>
      </c>
      <c r="F34" s="53">
        <v>1118003</v>
      </c>
      <c r="G34" s="53">
        <v>28</v>
      </c>
      <c r="H34" s="53">
        <f>ROUND(F34/F66,0)</f>
        <v>28</v>
      </c>
    </row>
    <row r="35" spans="1:9" ht="15" customHeight="1">
      <c r="A35" s="59" t="s">
        <v>197</v>
      </c>
      <c r="B35" s="58">
        <f>SUMIF('F-65 Cross-walk'!C130:C134,'Data Input'!A35,'F-65 Cross-walk'!F130:F134)</f>
        <v>5151361</v>
      </c>
      <c r="C35" s="58">
        <f>SUMIF('F-65 Cross-walk'!C130:C134,'Data Input'!A35,'F-65 Cross-walk'!G130:G134)</f>
        <v>5089006</v>
      </c>
      <c r="D35" s="58">
        <v>5333621</v>
      </c>
      <c r="E35" s="137">
        <v>5106154</v>
      </c>
      <c r="F35" s="145">
        <v>5209857</v>
      </c>
      <c r="G35" s="53">
        <v>127</v>
      </c>
      <c r="H35" s="53">
        <f>ROUND(F35/F66,0)</f>
        <v>129</v>
      </c>
    </row>
    <row r="36" spans="1:9" ht="15.75" customHeight="1" thickBot="1">
      <c r="A36" s="44" t="s">
        <v>176</v>
      </c>
      <c r="B36" s="42">
        <f>SUM(B31:B35)</f>
        <v>10847726</v>
      </c>
      <c r="C36" s="42">
        <f>SUM(C31:C35)</f>
        <v>9699205</v>
      </c>
      <c r="D36" s="42">
        <f>SUM(D31:D35)</f>
        <v>11803155</v>
      </c>
      <c r="E36" s="42">
        <f>SUM(E31:E35)</f>
        <v>13331593</v>
      </c>
      <c r="F36" s="42">
        <f>SUM(F31:F35)</f>
        <v>15569357</v>
      </c>
      <c r="G36" s="53">
        <v>330</v>
      </c>
      <c r="H36" s="53">
        <f>ROUND(F36/F66,0)</f>
        <v>387</v>
      </c>
    </row>
    <row r="37" spans="1:9" ht="29.4" thickTop="1">
      <c r="A37" s="33" t="s">
        <v>47</v>
      </c>
      <c r="B37" s="20"/>
      <c r="C37" s="20"/>
      <c r="D37" s="20"/>
      <c r="E37" s="20"/>
      <c r="F37" s="20"/>
      <c r="G37" s="53"/>
      <c r="H37" s="53"/>
    </row>
    <row r="38" spans="1:9" ht="17.25" customHeight="1">
      <c r="A38" s="37" t="s">
        <v>99</v>
      </c>
      <c r="G38" s="53"/>
      <c r="H38" s="53"/>
    </row>
    <row r="39" spans="1:9" ht="17.25" customHeight="1">
      <c r="A39" s="49" t="s">
        <v>37</v>
      </c>
      <c r="B39" s="43">
        <v>41274</v>
      </c>
      <c r="C39" s="43">
        <v>41639</v>
      </c>
      <c r="D39" s="43">
        <v>42004</v>
      </c>
      <c r="E39" s="43">
        <v>42369</v>
      </c>
      <c r="F39" s="43">
        <v>42735</v>
      </c>
      <c r="G39" s="53"/>
      <c r="H39" s="53"/>
    </row>
    <row r="40" spans="1:9" ht="15" customHeight="1">
      <c r="A40" s="51" t="s">
        <v>101</v>
      </c>
      <c r="B40" s="60">
        <v>11943638</v>
      </c>
      <c r="C40" s="60">
        <v>12452833</v>
      </c>
      <c r="D40" s="60">
        <v>12878070</v>
      </c>
      <c r="E40" s="138">
        <v>13025500</v>
      </c>
      <c r="F40" s="138">
        <v>13174974</v>
      </c>
      <c r="G40" s="53" t="s">
        <v>211</v>
      </c>
      <c r="H40" s="53"/>
    </row>
    <row r="41" spans="1:9" ht="15" customHeight="1">
      <c r="A41" s="54" t="s">
        <v>160</v>
      </c>
      <c r="B41" s="61">
        <v>17972554</v>
      </c>
      <c r="C41" s="61">
        <v>18385752</v>
      </c>
      <c r="D41" s="61">
        <v>19426480</v>
      </c>
      <c r="E41" s="138">
        <v>19235619</v>
      </c>
      <c r="F41" s="138">
        <v>19957277</v>
      </c>
      <c r="G41" s="53"/>
      <c r="H41" s="53"/>
    </row>
    <row r="42" spans="1:9" ht="15" customHeight="1">
      <c r="A42" s="62" t="s">
        <v>32</v>
      </c>
      <c r="B42" s="55">
        <f>B41-B40</f>
        <v>6028916</v>
      </c>
      <c r="C42" s="55">
        <f>C41-C40</f>
        <v>5932919</v>
      </c>
      <c r="D42" s="55">
        <f>D41-D40</f>
        <v>6548410</v>
      </c>
      <c r="E42" s="55">
        <f>E41-E40</f>
        <v>6210119</v>
      </c>
      <c r="F42" s="55">
        <f>F41-F40</f>
        <v>6782303</v>
      </c>
      <c r="G42" s="53">
        <f>(HLOOKUP($G$3,$B$3:$D$64,40))/(HLOOKUP($G$3,$B$3:$D$66,64))</f>
        <v>161.9490540373439</v>
      </c>
      <c r="H42" s="53">
        <f>(HLOOKUP($H$3,$B$3:$D$64,40))/(HLOOKUP($H$3,$B$3:$D$66,64))</f>
        <v>161.9490540373439</v>
      </c>
    </row>
    <row r="43" spans="1:9" ht="15" customHeight="1">
      <c r="A43" s="63" t="s">
        <v>198</v>
      </c>
      <c r="B43" s="64">
        <f>B40/B41</f>
        <v>0.66454873358566624</v>
      </c>
      <c r="C43" s="64">
        <f>C40/C41</f>
        <v>0.67730887482872604</v>
      </c>
      <c r="D43" s="64">
        <f>D40/D41</f>
        <v>0.66291319889141009</v>
      </c>
      <c r="E43" s="64">
        <f>E40/E41</f>
        <v>0.67715522957696339</v>
      </c>
      <c r="F43" s="64">
        <f>F40/F41</f>
        <v>0.66015889843088316</v>
      </c>
      <c r="G43" s="53"/>
      <c r="H43" s="53"/>
    </row>
    <row r="44" spans="1:9" ht="15" customHeight="1">
      <c r="A44" s="37" t="s">
        <v>186</v>
      </c>
      <c r="G44" s="53"/>
      <c r="H44" s="53"/>
    </row>
    <row r="45" spans="1:9" ht="17.25" customHeight="1">
      <c r="A45" s="49" t="s">
        <v>37</v>
      </c>
      <c r="B45" s="43">
        <v>41000</v>
      </c>
      <c r="C45" s="43">
        <v>41365</v>
      </c>
      <c r="D45" s="43">
        <v>41730</v>
      </c>
      <c r="E45" s="43">
        <v>42095</v>
      </c>
      <c r="F45" s="43">
        <v>42461</v>
      </c>
      <c r="G45" s="53"/>
      <c r="H45" s="53"/>
    </row>
    <row r="46" spans="1:9" ht="15" customHeight="1">
      <c r="A46" s="51" t="s">
        <v>101</v>
      </c>
      <c r="B46" s="60">
        <v>1120014</v>
      </c>
      <c r="C46" s="60">
        <v>1441306</v>
      </c>
      <c r="D46" s="60">
        <v>2046725</v>
      </c>
      <c r="E46" s="138">
        <v>2566542</v>
      </c>
      <c r="F46" s="143">
        <v>3049204</v>
      </c>
      <c r="H46" s="53"/>
      <c r="I46" s="53" t="s">
        <v>208</v>
      </c>
    </row>
    <row r="47" spans="1:9" ht="15" customHeight="1">
      <c r="A47" s="54" t="s">
        <v>160</v>
      </c>
      <c r="B47" s="61">
        <v>11400758</v>
      </c>
      <c r="C47" s="61">
        <v>11978801</v>
      </c>
      <c r="D47" s="61">
        <v>12520108</v>
      </c>
      <c r="E47" s="138">
        <v>10109362</v>
      </c>
      <c r="F47" s="138">
        <v>10477968</v>
      </c>
      <c r="G47" s="53"/>
      <c r="H47" s="53"/>
    </row>
    <row r="48" spans="1:9" ht="15" customHeight="1">
      <c r="A48" s="62" t="s">
        <v>70</v>
      </c>
      <c r="B48" s="55">
        <f>+B47-B46</f>
        <v>10280744</v>
      </c>
      <c r="C48" s="55">
        <f>+C47-C46</f>
        <v>10537495</v>
      </c>
      <c r="D48" s="55">
        <f>+D47-D46</f>
        <v>10473383</v>
      </c>
      <c r="E48" s="55">
        <f>+E47-E46</f>
        <v>7542820</v>
      </c>
      <c r="F48" s="55">
        <f>+F47-F46</f>
        <v>7428764</v>
      </c>
      <c r="G48" s="53"/>
      <c r="H48" s="53"/>
    </row>
    <row r="49" spans="1:9" ht="15" customHeight="1">
      <c r="A49" s="63" t="s">
        <v>198</v>
      </c>
      <c r="B49" s="64">
        <f>+B46/B47</f>
        <v>9.8240309986406163E-2</v>
      </c>
      <c r="C49" s="64">
        <f>+C46/C47</f>
        <v>0.12032139109748964</v>
      </c>
      <c r="D49" s="64">
        <f>+D46/D47</f>
        <v>0.16347502753171139</v>
      </c>
      <c r="E49" s="64">
        <f>+E46/E47</f>
        <v>0.25387774223536558</v>
      </c>
      <c r="F49" s="64">
        <f>+F46/F47</f>
        <v>0.2910110051872653</v>
      </c>
      <c r="G49" s="53"/>
      <c r="H49" s="53"/>
    </row>
    <row r="50" spans="1:9" ht="15" customHeight="1">
      <c r="A50" s="50" t="s">
        <v>122</v>
      </c>
      <c r="G50" s="53"/>
      <c r="H50" s="53"/>
    </row>
    <row r="51" spans="1:9" ht="15" customHeight="1">
      <c r="A51" s="51" t="s">
        <v>101</v>
      </c>
      <c r="B51" s="52">
        <f t="shared" ref="B51:D52" si="0">+B40+B46</f>
        <v>13063652</v>
      </c>
      <c r="C51" s="52">
        <f t="shared" si="0"/>
        <v>13894139</v>
      </c>
      <c r="D51" s="52">
        <f t="shared" si="0"/>
        <v>14924795</v>
      </c>
      <c r="E51" s="52">
        <f t="shared" ref="E51:F51" si="1">+E40+E46</f>
        <v>15592042</v>
      </c>
      <c r="F51" s="52">
        <f t="shared" si="1"/>
        <v>16224178</v>
      </c>
      <c r="G51" s="53"/>
      <c r="H51" s="53"/>
    </row>
    <row r="52" spans="1:9" ht="15" customHeight="1">
      <c r="A52" s="54" t="s">
        <v>160</v>
      </c>
      <c r="B52" s="52">
        <f t="shared" si="0"/>
        <v>29373312</v>
      </c>
      <c r="C52" s="52">
        <f t="shared" si="0"/>
        <v>30364553</v>
      </c>
      <c r="D52" s="52">
        <f t="shared" si="0"/>
        <v>31946588</v>
      </c>
      <c r="E52" s="52">
        <f t="shared" ref="E52:F52" si="2">+E41+E47</f>
        <v>29344981</v>
      </c>
      <c r="F52" s="52">
        <f t="shared" si="2"/>
        <v>30435245</v>
      </c>
      <c r="G52" s="53"/>
      <c r="H52" s="53"/>
    </row>
    <row r="53" spans="1:9" ht="15" customHeight="1">
      <c r="A53" s="62" t="s">
        <v>70</v>
      </c>
      <c r="B53" s="52">
        <f>+B52-B51</f>
        <v>16309660</v>
      </c>
      <c r="C53" s="52">
        <f>+C52-C51</f>
        <v>16470414</v>
      </c>
      <c r="D53" s="52">
        <f>+D52-D51</f>
        <v>17021793</v>
      </c>
      <c r="E53" s="52">
        <f>+E52-E51</f>
        <v>13752939</v>
      </c>
      <c r="F53" s="52">
        <f>+F52-F51</f>
        <v>14211067</v>
      </c>
      <c r="G53" s="53"/>
      <c r="H53" s="53"/>
    </row>
    <row r="54" spans="1:9" ht="15" customHeight="1" thickBot="1">
      <c r="A54" s="65" t="s">
        <v>198</v>
      </c>
      <c r="B54" s="66">
        <f>+B51/B52</f>
        <v>0.44474562487199265</v>
      </c>
      <c r="C54" s="66">
        <f>+C51/C52</f>
        <v>0.4575775905543546</v>
      </c>
      <c r="D54" s="66">
        <f>+D51/D52</f>
        <v>0.46717962494148046</v>
      </c>
      <c r="E54" s="66">
        <f>+E51/E52</f>
        <v>0.5313359037444938</v>
      </c>
      <c r="F54" s="66">
        <f>+F51/F52</f>
        <v>0.53307203539843362</v>
      </c>
      <c r="G54" s="53"/>
      <c r="H54" s="53"/>
    </row>
    <row r="55" spans="1:9" ht="15" customHeight="1" thickTop="1">
      <c r="A55" s="37" t="s">
        <v>123</v>
      </c>
      <c r="G55" s="53"/>
      <c r="H55" s="53"/>
    </row>
    <row r="56" spans="1:9" ht="15" customHeight="1">
      <c r="A56" s="51" t="s">
        <v>95</v>
      </c>
      <c r="B56" s="60"/>
      <c r="C56" s="60"/>
      <c r="D56" s="60"/>
      <c r="E56" s="138"/>
      <c r="F56" s="138"/>
      <c r="G56" s="53"/>
      <c r="H56" s="53"/>
    </row>
    <row r="57" spans="1:9" ht="15" customHeight="1">
      <c r="A57" s="54" t="s">
        <v>194</v>
      </c>
      <c r="B57" s="61"/>
      <c r="C57" s="61"/>
      <c r="D57" s="61"/>
      <c r="E57" s="138"/>
      <c r="F57" s="138"/>
      <c r="G57" s="53"/>
      <c r="H57" s="53"/>
    </row>
    <row r="58" spans="1:9" ht="15" customHeight="1">
      <c r="A58" s="57" t="s">
        <v>52</v>
      </c>
      <c r="B58" s="67"/>
      <c r="C58" s="67"/>
      <c r="D58" s="67"/>
      <c r="E58" s="67"/>
      <c r="F58" s="139"/>
      <c r="G58" s="53"/>
      <c r="H58" s="53"/>
    </row>
    <row r="59" spans="1:9" ht="15" customHeight="1">
      <c r="A59" s="69" t="s">
        <v>126</v>
      </c>
      <c r="B59" s="70">
        <f>SUM(B55:B58)</f>
        <v>0</v>
      </c>
      <c r="C59" s="70">
        <f>SUM(C55:C58)</f>
        <v>0</v>
      </c>
      <c r="D59" s="70">
        <f>SUM(D55:D58)</f>
        <v>0</v>
      </c>
      <c r="E59" s="53"/>
      <c r="F59" s="53"/>
      <c r="G59" s="53"/>
      <c r="H59" s="53"/>
    </row>
    <row r="60" spans="1:9" ht="15" customHeight="1">
      <c r="A60" s="54" t="s">
        <v>94</v>
      </c>
      <c r="B60" s="61">
        <v>921961</v>
      </c>
      <c r="C60" s="61">
        <v>910050</v>
      </c>
      <c r="D60" s="61">
        <v>950975</v>
      </c>
      <c r="E60" s="138">
        <v>885511</v>
      </c>
      <c r="F60" s="143">
        <v>864570</v>
      </c>
      <c r="G60" s="15">
        <v>22</v>
      </c>
      <c r="H60" s="15">
        <f>ROUND(F60/F66,0)</f>
        <v>21</v>
      </c>
      <c r="I60" s="53" t="s">
        <v>209</v>
      </c>
    </row>
    <row r="61" spans="1:9" ht="15" customHeight="1">
      <c r="A61" s="54" t="s">
        <v>13</v>
      </c>
      <c r="B61" s="61"/>
      <c r="C61" s="61"/>
      <c r="D61" s="61"/>
      <c r="E61" s="138"/>
      <c r="F61" s="138"/>
      <c r="G61" s="53"/>
      <c r="H61" s="53"/>
    </row>
    <row r="62" spans="1:9" ht="15" customHeight="1">
      <c r="A62" s="71" t="s">
        <v>77</v>
      </c>
      <c r="B62" s="61"/>
      <c r="C62" s="61"/>
      <c r="D62" s="61"/>
      <c r="E62" s="138"/>
      <c r="F62" s="138"/>
      <c r="G62" s="53"/>
      <c r="H62" s="53"/>
    </row>
    <row r="63" spans="1:9" ht="15" customHeight="1">
      <c r="A63" s="72" t="s">
        <v>190</v>
      </c>
      <c r="B63" s="67"/>
      <c r="C63" s="67"/>
      <c r="D63" s="67"/>
      <c r="E63" s="139"/>
      <c r="F63" s="139"/>
      <c r="G63" s="53"/>
      <c r="H63" s="53"/>
    </row>
    <row r="64" spans="1:9" ht="15.75" customHeight="1" thickBot="1">
      <c r="A64" s="40" t="s">
        <v>191</v>
      </c>
      <c r="B64" s="42">
        <f>SUM(B59:B63)</f>
        <v>921961</v>
      </c>
      <c r="C64" s="42">
        <f>SUM(C59:C63)</f>
        <v>910050</v>
      </c>
      <c r="D64" s="42">
        <f>SUM(D59:D63)</f>
        <v>950975</v>
      </c>
      <c r="E64" s="42">
        <f>SUM(E59:E63)</f>
        <v>885511</v>
      </c>
      <c r="F64" s="42">
        <f>SUM(F59:F63)</f>
        <v>864570</v>
      </c>
      <c r="G64" s="53"/>
      <c r="H64" s="53"/>
    </row>
    <row r="65" spans="1:6" ht="15.75" customHeight="1" thickTop="1"/>
    <row r="66" spans="1:6" ht="15" customHeight="1">
      <c r="A66" s="46" t="s">
        <v>116</v>
      </c>
      <c r="B66" s="47">
        <v>40597</v>
      </c>
      <c r="C66" s="47">
        <v>40516</v>
      </c>
      <c r="D66" s="45">
        <v>40435</v>
      </c>
      <c r="E66" s="45">
        <v>40354</v>
      </c>
      <c r="F66" s="45">
        <v>40273</v>
      </c>
    </row>
    <row r="68" spans="1:6" ht="15" customHeight="1">
      <c r="A68" s="34" t="s">
        <v>135</v>
      </c>
    </row>
    <row r="69" spans="1:6" ht="15" customHeight="1">
      <c r="A69" s="38" t="s">
        <v>206</v>
      </c>
    </row>
    <row r="70" spans="1:6" ht="15" customHeight="1">
      <c r="A70" s="38" t="s">
        <v>207</v>
      </c>
    </row>
    <row r="77" spans="1:6" ht="17.25" customHeight="1">
      <c r="B77" s="18"/>
      <c r="C77" s="18"/>
      <c r="D77" s="18"/>
      <c r="E77" s="18"/>
      <c r="F77" s="18"/>
    </row>
  </sheetData>
  <mergeCells count="1">
    <mergeCell ref="A1:H1"/>
  </mergeCells>
  <conditionalFormatting sqref="B39:F41 B45:F47 B56:F58 B60:F63 A1:H1">
    <cfRule type="expression" dxfId="3" priority="1" stopIfTrue="1">
      <formula>LEN(TRIM(A1))=0</formula>
    </cfRule>
  </conditionalFormatting>
  <conditionalFormatting sqref="C66:F66">
    <cfRule type="expression" dxfId="2" priority="2" stopIfTrue="1">
      <formula>LEN(TRIM(C66))=0</formula>
    </cfRule>
  </conditionalFormatting>
  <conditionalFormatting sqref="B66">
    <cfRule type="expression" dxfId="1" priority="4" stopIfTrue="1">
      <formula>LEN(TRIM(B66))=0</formula>
    </cfRule>
  </conditionalFormatting>
  <printOptions horizontalCentered="1"/>
  <pageMargins left="0.2" right="0.2" top="0.5" bottom="0.5" header="0.25" footer="0.25"/>
  <pageSetup fitToHeight="5" orientation="landscape" r:id="rId1"/>
  <headerFooter alignWithMargins="0">
    <oddFooter>&amp;L&amp;"Calibri,Bold"CITIZEN'S GUIDE TO LOCAL UNIT FINANCES&amp;R&amp;"Calibri,Bold"&amp;A - &amp;P</oddFooter>
  </headerFooter>
  <rowBreaks count="2" manualBreakCount="2">
    <brk id="29" max="7" man="1"/>
    <brk id="54" max="7" man="1"/>
  </rowBreaks>
  <ignoredErrors>
    <ignoredError sqref="C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P36"/>
  <sheetViews>
    <sheetView tabSelected="1" zoomScale="85" zoomScaleNormal="85" workbookViewId="0">
      <selection activeCell="P12" sqref="P12"/>
    </sheetView>
  </sheetViews>
  <sheetFormatPr defaultColWidth="13" defaultRowHeight="15" customHeight="1"/>
  <cols>
    <col min="1" max="1" width="13" style="14" customWidth="1"/>
    <col min="2" max="4" width="13.6640625" style="14" customWidth="1"/>
    <col min="5" max="6" width="5.44140625" style="14" customWidth="1"/>
    <col min="7" max="7" width="2.88671875" style="14" customWidth="1"/>
    <col min="8" max="8" width="18" style="14" customWidth="1"/>
    <col min="9" max="9" width="21.44140625" style="14" customWidth="1"/>
    <col min="10" max="11" width="17.44140625" style="14" customWidth="1"/>
    <col min="12" max="12" width="8.88671875" style="14" customWidth="1"/>
    <col min="13" max="14" width="2.88671875" style="14" customWidth="1"/>
    <col min="15" max="16384" width="13" style="14"/>
  </cols>
  <sheetData>
    <row r="1" spans="1:16" ht="15" customHeight="1">
      <c r="A1" s="150" t="str">
        <f>'Data Input'!A1:H1</f>
        <v>CITIZENS' GUIDE TO LOCAL UNIT FINANCES - Saginaw Charter Township - Saginaw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6" ht="15" customHeight="1">
      <c r="A2" s="14" t="s">
        <v>113</v>
      </c>
      <c r="G2" s="14" t="s">
        <v>168</v>
      </c>
    </row>
    <row r="3" spans="1:16" ht="15" customHeight="1">
      <c r="A3" s="78"/>
      <c r="B3" s="79"/>
      <c r="C3" s="79"/>
      <c r="D3" s="79"/>
      <c r="E3" s="80"/>
      <c r="G3" s="22"/>
      <c r="H3" s="74"/>
      <c r="I3" s="74"/>
      <c r="J3" s="74"/>
      <c r="K3" s="74"/>
      <c r="L3" s="74"/>
      <c r="M3" s="23"/>
      <c r="N3" s="24"/>
    </row>
    <row r="4" spans="1:16" ht="15" customHeight="1">
      <c r="A4" s="81"/>
      <c r="E4" s="82"/>
      <c r="G4" s="25"/>
      <c r="N4" s="26"/>
    </row>
    <row r="5" spans="1:16" ht="19.5" customHeight="1">
      <c r="A5" s="81"/>
      <c r="C5" s="73"/>
      <c r="E5" s="82"/>
      <c r="G5" s="25"/>
      <c r="I5" s="75"/>
      <c r="J5" s="76">
        <f>K5-1</f>
        <v>2016</v>
      </c>
      <c r="K5" s="76">
        <f>'Data Input'!F3</f>
        <v>2017</v>
      </c>
      <c r="L5" s="77" t="s">
        <v>12</v>
      </c>
      <c r="N5" s="26"/>
    </row>
    <row r="6" spans="1:16" ht="15" customHeight="1">
      <c r="A6" s="81"/>
      <c r="E6" s="82"/>
      <c r="G6" s="25"/>
      <c r="I6" s="105" t="s">
        <v>138</v>
      </c>
      <c r="J6" s="106">
        <f>HLOOKUP(J5,'Data Input'!B3:E15,4)</f>
        <v>10198174</v>
      </c>
      <c r="K6" s="106">
        <f>'Data Input'!F6</f>
        <v>10227120</v>
      </c>
      <c r="L6" s="107">
        <f t="shared" ref="L6:L15" si="0">IF(J6=0,"N/A",(K6-J6)/J6)</f>
        <v>2.8383512577839914E-3</v>
      </c>
      <c r="N6" s="26"/>
    </row>
    <row r="7" spans="1:16" ht="15" customHeight="1">
      <c r="A7" s="81"/>
      <c r="E7" s="82"/>
      <c r="G7" s="25"/>
      <c r="I7" s="56" t="str">
        <f>'Data Input'!A7</f>
        <v>Licenses &amp; Permits</v>
      </c>
      <c r="J7" s="106">
        <f>HLOOKUP(J5,'Data Input'!B3:E15,5)</f>
        <v>1219794</v>
      </c>
      <c r="K7" s="106">
        <f>'Data Input'!F7</f>
        <v>1237369</v>
      </c>
      <c r="L7" s="108">
        <f t="shared" si="0"/>
        <v>1.4408170559947007E-2</v>
      </c>
      <c r="N7" s="26"/>
    </row>
    <row r="8" spans="1:16" ht="15" customHeight="1">
      <c r="A8" s="81"/>
      <c r="E8" s="82"/>
      <c r="G8" s="25"/>
      <c r="I8" s="56" t="str">
        <f>'Data Input'!A8</f>
        <v>Federal Government</v>
      </c>
      <c r="J8" s="106">
        <f>HLOOKUP(J5,'Data Input'!B3:E15,6)</f>
        <v>0</v>
      </c>
      <c r="K8" s="106">
        <f>'Data Input'!F8</f>
        <v>0</v>
      </c>
      <c r="L8" s="108" t="str">
        <f t="shared" si="0"/>
        <v>N/A</v>
      </c>
      <c r="N8" s="26"/>
    </row>
    <row r="9" spans="1:16" ht="15" customHeight="1">
      <c r="A9" s="81"/>
      <c r="E9" s="82"/>
      <c r="G9" s="25"/>
      <c r="I9" s="56" t="str">
        <f>'Data Input'!A9</f>
        <v>State Government</v>
      </c>
      <c r="J9" s="106">
        <f>HLOOKUP(J5,'Data Input'!B3:E15,7)</f>
        <v>3273975</v>
      </c>
      <c r="K9" s="106">
        <f>'Data Input'!F9</f>
        <v>3438616</v>
      </c>
      <c r="L9" s="109">
        <f t="shared" si="0"/>
        <v>5.0287799998472806E-2</v>
      </c>
      <c r="N9" s="26"/>
    </row>
    <row r="10" spans="1:16" ht="15" customHeight="1">
      <c r="A10" s="81"/>
      <c r="E10" s="82"/>
      <c r="G10" s="25"/>
      <c r="I10" s="56" t="str">
        <f>'Data Input'!A10</f>
        <v>Local Contributions</v>
      </c>
      <c r="J10" s="106">
        <f>HLOOKUP(J5,'Data Input'!B3:E15,8)</f>
        <v>63343</v>
      </c>
      <c r="K10" s="106">
        <f>'Data Input'!F10</f>
        <v>54565</v>
      </c>
      <c r="L10" s="109">
        <f t="shared" si="0"/>
        <v>-0.13857884849154603</v>
      </c>
      <c r="N10" s="26"/>
    </row>
    <row r="11" spans="1:16" ht="15" customHeight="1">
      <c r="A11" s="81"/>
      <c r="E11" s="82"/>
      <c r="G11" s="25"/>
      <c r="I11" s="56" t="str">
        <f>'Data Input'!A11</f>
        <v>Charges for Services</v>
      </c>
      <c r="J11" s="106">
        <f>HLOOKUP(J5,'Data Input'!B3:E15,9)</f>
        <v>2378845</v>
      </c>
      <c r="K11" s="106">
        <f>'Data Input'!F11</f>
        <v>2356483</v>
      </c>
      <c r="L11" s="109">
        <f t="shared" si="0"/>
        <v>-9.400360258865122E-3</v>
      </c>
      <c r="N11" s="26"/>
    </row>
    <row r="12" spans="1:16" ht="15" customHeight="1">
      <c r="A12" s="81"/>
      <c r="E12" s="82"/>
      <c r="G12" s="25"/>
      <c r="I12" s="56" t="str">
        <f>'Data Input'!A12</f>
        <v>Fines &amp; Forfeitures</v>
      </c>
      <c r="J12" s="106">
        <f>HLOOKUP(J5,'Data Input'!B3:E15,10)</f>
        <v>109496</v>
      </c>
      <c r="K12" s="106">
        <f>'Data Input'!F12</f>
        <v>103692</v>
      </c>
      <c r="L12" s="109">
        <f t="shared" si="0"/>
        <v>-5.3006502520640021E-2</v>
      </c>
      <c r="N12" s="26"/>
    </row>
    <row r="13" spans="1:16" ht="17.25" customHeight="1">
      <c r="A13" s="81"/>
      <c r="E13" s="82"/>
      <c r="G13" s="25"/>
      <c r="I13" s="56" t="str">
        <f>'Data Input'!A13</f>
        <v>Interest &amp; Rents</v>
      </c>
      <c r="J13" s="106">
        <f>HLOOKUP(J5,'Data Input'!B3:E15,11)</f>
        <v>91508</v>
      </c>
      <c r="K13" s="106">
        <f>'Data Input'!F13</f>
        <v>117444</v>
      </c>
      <c r="L13" s="109">
        <f t="shared" si="0"/>
        <v>0.28342877125497223</v>
      </c>
      <c r="N13" s="26"/>
    </row>
    <row r="14" spans="1:16" ht="17.25" customHeight="1">
      <c r="A14" s="81"/>
      <c r="E14" s="82"/>
      <c r="G14" s="25"/>
      <c r="I14" s="68" t="str">
        <f>'Data Input'!A14</f>
        <v>Other Revenues</v>
      </c>
      <c r="J14" s="106">
        <f>HLOOKUP(J5,'Data Input'!B3:E15,12)</f>
        <v>2673922</v>
      </c>
      <c r="K14" s="106">
        <f>'Data Input'!F14</f>
        <v>2417076</v>
      </c>
      <c r="L14" s="110">
        <f t="shared" si="0"/>
        <v>-9.6055905894038798E-2</v>
      </c>
      <c r="N14" s="26"/>
    </row>
    <row r="15" spans="1:16" ht="15" customHeight="1" thickBot="1">
      <c r="A15" s="81"/>
      <c r="E15" s="82"/>
      <c r="G15" s="25"/>
      <c r="I15" s="111" t="str">
        <f>'Data Input'!A15</f>
        <v>Total Revenues</v>
      </c>
      <c r="J15" s="106">
        <f>HLOOKUP(J5,'Data Input'!B3:E15,13)</f>
        <v>20009057</v>
      </c>
      <c r="K15" s="106">
        <f>SUM(K6:K14)</f>
        <v>19952365</v>
      </c>
      <c r="L15" s="112">
        <f t="shared" si="0"/>
        <v>-2.8333169324271505E-3</v>
      </c>
      <c r="N15" s="26"/>
    </row>
    <row r="16" spans="1:16" ht="15" customHeight="1" thickTop="1">
      <c r="A16" s="81"/>
      <c r="E16" s="82"/>
      <c r="G16" s="25"/>
      <c r="N16" s="26"/>
    </row>
    <row r="17" spans="1:14" ht="15" customHeight="1">
      <c r="A17" s="83"/>
      <c r="B17" s="84"/>
      <c r="C17" s="84"/>
      <c r="D17" s="84"/>
      <c r="E17" s="85"/>
      <c r="G17" s="27"/>
      <c r="H17" s="28"/>
      <c r="I17" s="28"/>
      <c r="J17" s="28"/>
      <c r="K17" s="28"/>
      <c r="L17" s="28"/>
      <c r="M17" s="28"/>
      <c r="N17" s="29"/>
    </row>
    <row r="18" spans="1:14" ht="15" customHeight="1">
      <c r="A18" s="14" t="s">
        <v>2</v>
      </c>
      <c r="G18" s="14" t="s">
        <v>88</v>
      </c>
    </row>
    <row r="19" spans="1:14" ht="15" customHeight="1">
      <c r="A19" s="78"/>
      <c r="B19" s="79"/>
      <c r="C19" s="79"/>
      <c r="D19" s="79"/>
      <c r="E19" s="80"/>
      <c r="G19" s="78"/>
      <c r="H19" s="79"/>
      <c r="I19" s="79"/>
      <c r="J19" s="79"/>
      <c r="K19" s="79"/>
      <c r="L19" s="79"/>
      <c r="M19" s="79"/>
      <c r="N19" s="80"/>
    </row>
    <row r="20" spans="1:14" ht="15" customHeight="1">
      <c r="A20" s="81"/>
      <c r="C20" s="73"/>
      <c r="D20" s="73"/>
      <c r="E20" s="82"/>
      <c r="G20" s="81"/>
      <c r="L20" s="134">
        <v>6</v>
      </c>
      <c r="N20" s="82"/>
    </row>
    <row r="21" spans="1:14" ht="15" customHeight="1">
      <c r="A21" s="81"/>
      <c r="E21" s="82"/>
      <c r="G21" s="81"/>
      <c r="I21" s="73">
        <f>'Data Input'!B3</f>
        <v>2013</v>
      </c>
      <c r="J21" s="73">
        <f>'Data Input'!C3</f>
        <v>2014</v>
      </c>
      <c r="K21" s="73">
        <f>'Data Input'!D3</f>
        <v>2015</v>
      </c>
      <c r="L21" s="73">
        <f>'Data Input'!E3</f>
        <v>2016</v>
      </c>
      <c r="M21" s="73">
        <f>'Data Input'!F3</f>
        <v>2017</v>
      </c>
      <c r="N21" s="82"/>
    </row>
    <row r="22" spans="1:14" ht="15" customHeight="1">
      <c r="A22" s="81"/>
      <c r="E22" s="82"/>
      <c r="G22" s="81"/>
      <c r="H22" s="14" t="str">
        <f t="shared" ref="H22:H30" si="1">I6</f>
        <v>Taxes</v>
      </c>
      <c r="I22" s="14">
        <f>'Data Input'!B6</f>
        <v>6873527</v>
      </c>
      <c r="J22" s="14">
        <f>'Data Input'!C6</f>
        <v>6876832</v>
      </c>
      <c r="K22" s="14">
        <f>'Data Input'!D6</f>
        <v>9885671</v>
      </c>
      <c r="L22" s="14">
        <f>'Data Input'!E6</f>
        <v>10198174</v>
      </c>
      <c r="M22" s="14">
        <f>'Data Input'!F6</f>
        <v>10227120</v>
      </c>
      <c r="N22" s="82"/>
    </row>
    <row r="23" spans="1:14" ht="15" customHeight="1">
      <c r="A23" s="81"/>
      <c r="E23" s="82"/>
      <c r="G23" s="81"/>
      <c r="H23" s="14" t="str">
        <f t="shared" si="1"/>
        <v>Licenses &amp; Permits</v>
      </c>
      <c r="I23" s="14">
        <f>'Data Input'!B7</f>
        <v>1109325</v>
      </c>
      <c r="J23" s="14">
        <f>'Data Input'!C7</f>
        <v>1131191</v>
      </c>
      <c r="K23" s="14">
        <f>'Data Input'!D7</f>
        <v>1198689</v>
      </c>
      <c r="L23" s="14">
        <f>'Data Input'!E7</f>
        <v>1219794</v>
      </c>
      <c r="M23" s="14">
        <f>'Data Input'!F7</f>
        <v>1237369</v>
      </c>
      <c r="N23" s="82"/>
    </row>
    <row r="24" spans="1:14" ht="15" customHeight="1">
      <c r="A24" s="81"/>
      <c r="E24" s="82"/>
      <c r="G24" s="81"/>
      <c r="H24" s="14" t="str">
        <f t="shared" si="1"/>
        <v>Federal Government</v>
      </c>
      <c r="I24" s="14">
        <f>'Data Input'!B8</f>
        <v>63216</v>
      </c>
      <c r="J24" s="14">
        <f>'Data Input'!C8</f>
        <v>363723</v>
      </c>
      <c r="K24" s="14">
        <f>'Data Input'!D8</f>
        <v>32846</v>
      </c>
      <c r="L24" s="14">
        <f>'Data Input'!E8</f>
        <v>0</v>
      </c>
      <c r="M24" s="14">
        <f>'Data Input'!F8</f>
        <v>0</v>
      </c>
      <c r="N24" s="82"/>
    </row>
    <row r="25" spans="1:14" ht="15" customHeight="1">
      <c r="A25" s="81"/>
      <c r="E25" s="82"/>
      <c r="G25" s="81"/>
      <c r="H25" s="14" t="str">
        <f t="shared" si="1"/>
        <v>State Government</v>
      </c>
      <c r="I25" s="14">
        <f>'Data Input'!B9</f>
        <v>3116611</v>
      </c>
      <c r="J25" s="14">
        <f>'Data Input'!C9</f>
        <v>3147745</v>
      </c>
      <c r="K25" s="14">
        <f>'Data Input'!D9</f>
        <v>3346808</v>
      </c>
      <c r="L25" s="14">
        <f>'Data Input'!E9</f>
        <v>3273975</v>
      </c>
      <c r="M25" s="14">
        <f>'Data Input'!F9</f>
        <v>3438616</v>
      </c>
      <c r="N25" s="82"/>
    </row>
    <row r="26" spans="1:14" ht="15" customHeight="1">
      <c r="A26" s="81"/>
      <c r="E26" s="82"/>
      <c r="G26" s="81"/>
      <c r="H26" s="14" t="str">
        <f t="shared" si="1"/>
        <v>Local Contributions</v>
      </c>
      <c r="I26" s="14">
        <f>'Data Input'!B10</f>
        <v>41999</v>
      </c>
      <c r="J26" s="14">
        <f>'Data Input'!C10</f>
        <v>37369</v>
      </c>
      <c r="K26" s="14">
        <f>'Data Input'!D10</f>
        <v>63751</v>
      </c>
      <c r="L26" s="14">
        <f>'Data Input'!E10</f>
        <v>63343</v>
      </c>
      <c r="M26" s="14">
        <f>'Data Input'!F10</f>
        <v>54565</v>
      </c>
      <c r="N26" s="82"/>
    </row>
    <row r="27" spans="1:14" ht="15" customHeight="1">
      <c r="A27" s="81"/>
      <c r="E27" s="82"/>
      <c r="G27" s="81"/>
      <c r="H27" s="14" t="str">
        <f t="shared" si="1"/>
        <v>Charges for Services</v>
      </c>
      <c r="I27" s="14">
        <f>'Data Input'!B11</f>
        <v>2046548</v>
      </c>
      <c r="J27" s="14">
        <f>'Data Input'!C11</f>
        <v>2030569</v>
      </c>
      <c r="K27" s="14">
        <f>'Data Input'!D11</f>
        <v>2034569</v>
      </c>
      <c r="L27" s="14">
        <f>'Data Input'!E11</f>
        <v>2378845</v>
      </c>
      <c r="M27" s="14">
        <f>'Data Input'!F11</f>
        <v>2356483</v>
      </c>
      <c r="N27" s="82"/>
    </row>
    <row r="28" spans="1:14" ht="15" customHeight="1">
      <c r="A28" s="81"/>
      <c r="E28" s="82"/>
      <c r="G28" s="81"/>
      <c r="H28" s="14" t="str">
        <f t="shared" si="1"/>
        <v>Fines &amp; Forfeitures</v>
      </c>
      <c r="I28" s="14">
        <f>'Data Input'!B12</f>
        <v>134633</v>
      </c>
      <c r="J28" s="14">
        <f>'Data Input'!C12</f>
        <v>125726</v>
      </c>
      <c r="K28" s="14">
        <f>'Data Input'!D12</f>
        <v>110662</v>
      </c>
      <c r="L28" s="14">
        <f>'Data Input'!E12</f>
        <v>109496</v>
      </c>
      <c r="M28" s="14">
        <f>'Data Input'!F12</f>
        <v>103692</v>
      </c>
      <c r="N28" s="82"/>
    </row>
    <row r="29" spans="1:14" ht="15" customHeight="1">
      <c r="A29" s="81"/>
      <c r="E29" s="82"/>
      <c r="G29" s="81"/>
      <c r="H29" s="14" t="str">
        <f t="shared" si="1"/>
        <v>Interest &amp; Rents</v>
      </c>
      <c r="I29" s="14">
        <f>'Data Input'!B13</f>
        <v>132769</v>
      </c>
      <c r="J29" s="14">
        <f>'Data Input'!C13</f>
        <v>110728</v>
      </c>
      <c r="K29" s="14">
        <f>'Data Input'!D13</f>
        <v>89885</v>
      </c>
      <c r="L29" s="14">
        <f>'Data Input'!E13</f>
        <v>91508</v>
      </c>
      <c r="M29" s="14">
        <f>'Data Input'!F13</f>
        <v>117444</v>
      </c>
      <c r="N29" s="82"/>
    </row>
    <row r="30" spans="1:14" ht="15" customHeight="1">
      <c r="A30" s="81"/>
      <c r="E30" s="82"/>
      <c r="G30" s="81"/>
      <c r="H30" s="14" t="str">
        <f t="shared" si="1"/>
        <v>Other Revenues</v>
      </c>
      <c r="I30" s="14">
        <f>'Data Input'!B14</f>
        <v>3127864</v>
      </c>
      <c r="J30" s="14">
        <f>'Data Input'!C14</f>
        <v>2942253</v>
      </c>
      <c r="K30" s="14">
        <f>'Data Input'!D14</f>
        <v>2726158</v>
      </c>
      <c r="L30" s="14">
        <f>'Data Input'!E14</f>
        <v>2673922</v>
      </c>
      <c r="M30" s="14">
        <f>'Data Input'!F14</f>
        <v>2417076</v>
      </c>
      <c r="N30" s="82"/>
    </row>
    <row r="31" spans="1:14" ht="15" customHeight="1">
      <c r="A31" s="81"/>
      <c r="E31" s="82"/>
      <c r="G31" s="81"/>
      <c r="H31" s="14" t="str">
        <f t="shared" ref="H31" si="2">INDEX(H22:H30,$L$20)</f>
        <v>Charges for Services</v>
      </c>
      <c r="I31" s="14">
        <f>INDEX(I22:I30,$L$20)</f>
        <v>2046548</v>
      </c>
      <c r="J31" s="14">
        <f>INDEX(J22:J30,$L$20)</f>
        <v>2030569</v>
      </c>
      <c r="K31" s="14">
        <f>INDEX(K22:K30,$L$20)</f>
        <v>2034569</v>
      </c>
      <c r="L31" s="14">
        <f>INDEX(L22:L30,$L$20)</f>
        <v>2378845</v>
      </c>
      <c r="M31" s="14">
        <f>INDEX(M22:M30,$L$20)</f>
        <v>2356483</v>
      </c>
      <c r="N31" s="82"/>
    </row>
    <row r="32" spans="1:14" ht="15" customHeight="1">
      <c r="A32" s="81"/>
      <c r="E32" s="82"/>
      <c r="G32" s="81"/>
      <c r="N32" s="82"/>
    </row>
    <row r="33" spans="1:16" ht="15" customHeight="1">
      <c r="A33" s="83"/>
      <c r="B33" s="84"/>
      <c r="C33" s="84"/>
      <c r="D33" s="84"/>
      <c r="E33" s="85"/>
      <c r="G33" s="83"/>
      <c r="H33" s="84"/>
      <c r="I33" s="84"/>
      <c r="J33" s="84"/>
      <c r="K33" s="84"/>
      <c r="L33" s="84"/>
      <c r="M33" s="84"/>
      <c r="N33" s="85"/>
    </row>
    <row r="35" spans="1:16" ht="15" customHeight="1">
      <c r="A35" s="147" t="s">
        <v>7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/>
      <c r="O35" s="30"/>
      <c r="P35" s="30"/>
    </row>
    <row r="36" spans="1:16" ht="15" customHeight="1">
      <c r="A36" t="str">
        <f>CONCATENATE("For more information on our unit's finances, contact ",'[1]Data Input'!$C$78," at ",'[1]Data Input'!$C$79,".")</f>
        <v>For more information on our unit's finances, contact Rob Grose, Township Manager at (989) 791-9800.</v>
      </c>
    </row>
  </sheetData>
  <mergeCells count="2">
    <mergeCell ref="A35:N35"/>
    <mergeCell ref="A1:N1"/>
  </mergeCells>
  <printOptions horizontalCentered="1"/>
  <pageMargins left="0.25" right="0.25" top="0.75" bottom="0.75" header="0.3" footer="0.3"/>
  <pageSetup scale="85" fitToHeight="0" orientation="landscape" r:id="rId1"/>
  <headerFooter alignWithMargins="0">
    <oddFooter>&amp;L&amp;"Calibri,Bold"CITIZEN'S GUIDE TO LOCAL UNIT FINANCES&amp;R&amp;"Calibri,Bold"&amp;A -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20" r:id="rId4" name="Drop Down 172">
              <controlPr locked="0" defaultSize="0" autoLine="0" autoPict="0">
                <anchor moveWithCells="1">
                  <from>
                    <xdr:col>7</xdr:col>
                    <xdr:colOff>1051560</xdr:colOff>
                    <xdr:row>19</xdr:row>
                    <xdr:rowOff>0</xdr:rowOff>
                  </from>
                  <to>
                    <xdr:col>8</xdr:col>
                    <xdr:colOff>1394460</xdr:colOff>
                    <xdr:row>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22" r:id="rId5" name="Drop Down 674">
              <controlPr locked="0" defaultSize="0" autoLine="0" autoPict="0">
                <anchor moveWithCells="1">
                  <from>
                    <xdr:col>7</xdr:col>
                    <xdr:colOff>1051560</xdr:colOff>
                    <xdr:row>19</xdr:row>
                    <xdr:rowOff>0</xdr:rowOff>
                  </from>
                  <to>
                    <xdr:col>8</xdr:col>
                    <xdr:colOff>1394460</xdr:colOff>
                    <xdr:row>20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N44"/>
  <sheetViews>
    <sheetView topLeftCell="A7" zoomScale="85" zoomScaleNormal="85" workbookViewId="0">
      <selection activeCell="J6" sqref="J6"/>
    </sheetView>
  </sheetViews>
  <sheetFormatPr defaultColWidth="13" defaultRowHeight="15" customHeight="1"/>
  <cols>
    <col min="1" max="1" width="11" customWidth="1"/>
    <col min="2" max="3" width="13.6640625" customWidth="1"/>
    <col min="4" max="4" width="13" customWidth="1"/>
    <col min="5" max="5" width="13.6640625" customWidth="1"/>
    <col min="6" max="6" width="4.88671875" customWidth="1"/>
    <col min="7" max="7" width="2.88671875" customWidth="1"/>
    <col min="8" max="8" width="6.6640625" customWidth="1"/>
    <col min="9" max="9" width="31.6640625" customWidth="1"/>
    <col min="10" max="10" width="15.88671875" customWidth="1"/>
    <col min="11" max="11" width="15.109375" customWidth="1"/>
    <col min="12" max="12" width="9.109375" customWidth="1"/>
    <col min="13" max="14" width="2.88671875" customWidth="1"/>
  </cols>
  <sheetData>
    <row r="1" spans="1:14" ht="15" customHeight="1">
      <c r="A1" s="151" t="str">
        <f>'Data Input'!A1:H1</f>
        <v>CITIZENS' GUIDE TO LOCAL UNIT FINANCES - Saginaw Charter Township - Saginaw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5" customHeight="1">
      <c r="A2" t="s">
        <v>150</v>
      </c>
      <c r="G2" t="s">
        <v>168</v>
      </c>
    </row>
    <row r="3" spans="1:14" ht="15" customHeight="1">
      <c r="A3" s="88"/>
      <c r="B3" s="89"/>
      <c r="C3" s="89"/>
      <c r="D3" s="89"/>
      <c r="E3" s="90"/>
      <c r="G3" s="5"/>
      <c r="H3" s="87"/>
      <c r="I3" s="87"/>
      <c r="J3" s="87"/>
      <c r="K3" s="87"/>
      <c r="L3" s="87"/>
      <c r="M3" s="6"/>
      <c r="N3" s="7"/>
    </row>
    <row r="4" spans="1:14" ht="19.5" customHeight="1">
      <c r="A4" s="91"/>
      <c r="C4" s="86">
        <f>'Data Input'!C3</f>
        <v>2014</v>
      </c>
      <c r="E4" s="92"/>
      <c r="G4" s="10"/>
      <c r="I4" s="101"/>
      <c r="J4" s="102">
        <f>K4-1</f>
        <v>2016</v>
      </c>
      <c r="K4" s="102">
        <f>'Data Input'!F3</f>
        <v>2017</v>
      </c>
      <c r="L4" s="102" t="s">
        <v>12</v>
      </c>
      <c r="N4" s="9"/>
    </row>
    <row r="5" spans="1:14" ht="15" customHeight="1">
      <c r="A5" s="91"/>
      <c r="E5" s="92"/>
      <c r="G5" s="10"/>
      <c r="I5" s="113" t="str">
        <f>'Data Input'!A17</f>
        <v>General Government</v>
      </c>
      <c r="J5" s="114">
        <f>HLOOKUP(J4,'Data Input'!B3:E28,15)</f>
        <v>1682686</v>
      </c>
      <c r="K5" s="114">
        <f>'Data Input'!F17</f>
        <v>1745623</v>
      </c>
      <c r="L5" s="115">
        <f t="shared" ref="L5:L15" si="0">IF(J5=0,"N/A",(K5-J5)/J5)</f>
        <v>3.7402700206693347E-2</v>
      </c>
      <c r="N5" s="9"/>
    </row>
    <row r="6" spans="1:14" ht="15" customHeight="1">
      <c r="A6" s="91"/>
      <c r="E6" s="92"/>
      <c r="G6" s="10"/>
      <c r="I6" s="116" t="str">
        <f>'Data Input'!A18</f>
        <v>Police &amp; Fire</v>
      </c>
      <c r="J6" s="114">
        <f>HLOOKUP(J4,'Data Input'!B3:E28,16)</f>
        <v>6952252</v>
      </c>
      <c r="K6" s="114">
        <f>'Data Input'!F18</f>
        <v>5254447</v>
      </c>
      <c r="L6" s="117">
        <f t="shared" si="0"/>
        <v>-0.2442093583489206</v>
      </c>
      <c r="N6" s="9"/>
    </row>
    <row r="7" spans="1:14" ht="15" customHeight="1">
      <c r="A7" s="91"/>
      <c r="E7" s="92"/>
      <c r="G7" s="10"/>
      <c r="I7" s="116" t="str">
        <f>'Data Input'!A19</f>
        <v>Other Public Safety</v>
      </c>
      <c r="J7" s="114">
        <f>HLOOKUP(J4,'Data Input'!B3:E28,17)</f>
        <v>509627</v>
      </c>
      <c r="K7" s="114">
        <f>'Data Input'!F19</f>
        <v>392573</v>
      </c>
      <c r="L7" s="117">
        <f t="shared" si="0"/>
        <v>-0.22968563282557636</v>
      </c>
      <c r="N7" s="9"/>
    </row>
    <row r="8" spans="1:14" ht="15" customHeight="1">
      <c r="A8" s="91"/>
      <c r="E8" s="92"/>
      <c r="G8" s="10"/>
      <c r="I8" s="116" t="str">
        <f>'Data Input'!A20</f>
        <v xml:space="preserve">Roads </v>
      </c>
      <c r="J8" s="114">
        <f>HLOOKUP(J4,'Data Input'!B3:E28,18)</f>
        <v>437642</v>
      </c>
      <c r="K8" s="114">
        <f>'Data Input'!F20</f>
        <v>193064</v>
      </c>
      <c r="L8" s="117">
        <f t="shared" si="0"/>
        <v>-0.55885404051713505</v>
      </c>
      <c r="N8" s="9"/>
    </row>
    <row r="9" spans="1:14" ht="15" customHeight="1">
      <c r="A9" s="91"/>
      <c r="E9" s="92"/>
      <c r="G9" s="10"/>
      <c r="I9" s="116" t="str">
        <f>'Data Input'!A21</f>
        <v>Other Public Works</v>
      </c>
      <c r="J9" s="114">
        <f>HLOOKUP(J4,'Data Input'!B3:E28,19)</f>
        <v>2794966</v>
      </c>
      <c r="K9" s="114">
        <f>'Data Input'!F21</f>
        <v>2819889</v>
      </c>
      <c r="L9" s="117">
        <f t="shared" si="0"/>
        <v>8.917103106084295E-3</v>
      </c>
      <c r="N9" s="9"/>
    </row>
    <row r="10" spans="1:14" ht="15" customHeight="1">
      <c r="A10" s="91"/>
      <c r="E10" s="92"/>
      <c r="G10" s="10"/>
      <c r="I10" s="116" t="str">
        <f>'Data Input'!A22</f>
        <v>Health &amp; Welfare</v>
      </c>
      <c r="J10" s="114">
        <f>HLOOKUP(J4,'Data Input'!B3:E28,20)</f>
        <v>0</v>
      </c>
      <c r="K10" s="114">
        <f>'Data Input'!F22</f>
        <v>0</v>
      </c>
      <c r="L10" s="117" t="str">
        <f t="shared" si="0"/>
        <v>N/A</v>
      </c>
      <c r="N10" s="9"/>
    </row>
    <row r="11" spans="1:14" ht="15" customHeight="1">
      <c r="A11" s="91"/>
      <c r="E11" s="92"/>
      <c r="G11" s="10"/>
      <c r="I11" s="116" t="str">
        <f>'Data Input'!A23</f>
        <v>Community/Econ. Development</v>
      </c>
      <c r="J11" s="114">
        <f>HLOOKUP(J4,'Data Input'!B3:E28,21)</f>
        <v>355467</v>
      </c>
      <c r="K11" s="114">
        <f>'Data Input'!F23</f>
        <v>340292</v>
      </c>
      <c r="L11" s="117">
        <f t="shared" si="0"/>
        <v>-4.2690320057839404E-2</v>
      </c>
      <c r="N11" s="9"/>
    </row>
    <row r="12" spans="1:14" ht="15" customHeight="1">
      <c r="A12" s="91"/>
      <c r="E12" s="92"/>
      <c r="G12" s="10"/>
      <c r="I12" s="116" t="str">
        <f>'Data Input'!A24</f>
        <v>Recreation &amp; Culture</v>
      </c>
      <c r="J12" s="114">
        <f>HLOOKUP(J4,'Data Input'!B3:E28,22)</f>
        <v>1757119</v>
      </c>
      <c r="K12" s="114">
        <f>'Data Input'!F24</f>
        <v>1772415</v>
      </c>
      <c r="L12" s="117">
        <f t="shared" si="0"/>
        <v>8.7051588424005427E-3</v>
      </c>
      <c r="N12" s="9"/>
    </row>
    <row r="13" spans="1:14" ht="15" customHeight="1">
      <c r="A13" s="91"/>
      <c r="E13" s="92"/>
      <c r="G13" s="10"/>
      <c r="I13" s="116" t="str">
        <f>'Data Input'!A25</f>
        <v>Capital Outlay</v>
      </c>
      <c r="J13" s="114">
        <f>HLOOKUP(J4,'Data Input'!B3:E28,23)</f>
        <v>1321869</v>
      </c>
      <c r="K13" s="114">
        <f>'Data Input'!F25</f>
        <v>331914</v>
      </c>
      <c r="L13" s="117">
        <f t="shared" si="0"/>
        <v>-0.74890552694707269</v>
      </c>
      <c r="N13" s="9"/>
    </row>
    <row r="14" spans="1:14" ht="14.4">
      <c r="A14" s="91"/>
      <c r="E14" s="92"/>
      <c r="G14" s="10"/>
      <c r="I14" s="116" t="str">
        <f>'Data Input'!A26</f>
        <v>Debt Service</v>
      </c>
      <c r="J14" s="114">
        <f>HLOOKUP(J4,'Data Input'!B3:E28,24)</f>
        <v>0</v>
      </c>
      <c r="K14" s="114" t="str">
        <f>'Data Input'!F26</f>
        <v>-</v>
      </c>
      <c r="L14" s="117" t="str">
        <f t="shared" si="0"/>
        <v>N/A</v>
      </c>
      <c r="N14" s="9"/>
    </row>
    <row r="15" spans="1:14" ht="14.4">
      <c r="A15" s="91"/>
      <c r="E15" s="92"/>
      <c r="G15" s="10"/>
      <c r="I15" s="118" t="str">
        <f>'Data Input'!A27</f>
        <v>Other Expenditures</v>
      </c>
      <c r="J15" s="114">
        <f>HLOOKUP(J4,'Data Input'!B3:E28,25)</f>
        <v>2668988</v>
      </c>
      <c r="K15" s="114">
        <f>'Data Input'!F27</f>
        <v>4864378</v>
      </c>
      <c r="L15" s="119">
        <f t="shared" si="0"/>
        <v>0.82255521568474643</v>
      </c>
      <c r="N15" s="9"/>
    </row>
    <row r="16" spans="1:14" thickBot="1">
      <c r="A16" s="91"/>
      <c r="E16" s="92"/>
      <c r="G16" s="10"/>
      <c r="I16" s="120" t="s">
        <v>169</v>
      </c>
      <c r="J16" s="114">
        <f>HLOOKUP(J4,'Data Input'!B3:D28,26)</f>
        <v>17385102</v>
      </c>
      <c r="K16" s="114">
        <f>'Data Input'!F28</f>
        <v>17714595</v>
      </c>
      <c r="L16" s="121">
        <f>(K16-J16)/J16</f>
        <v>1.8952606662877215E-2</v>
      </c>
      <c r="N16" s="9"/>
    </row>
    <row r="17" spans="1:14" ht="15.75" customHeight="1" thickTop="1">
      <c r="A17" s="91"/>
      <c r="E17" s="92"/>
      <c r="G17" s="10"/>
      <c r="I17" s="2"/>
      <c r="J17" s="96"/>
      <c r="K17" s="96"/>
      <c r="L17" s="97"/>
      <c r="N17" s="9"/>
    </row>
    <row r="18" spans="1:14" ht="12" customHeight="1">
      <c r="A18" s="93"/>
      <c r="B18" s="94"/>
      <c r="C18" s="94"/>
      <c r="D18" s="94"/>
      <c r="E18" s="95"/>
      <c r="G18" s="8"/>
      <c r="H18" s="11"/>
      <c r="I18" s="11"/>
      <c r="J18" s="11"/>
      <c r="K18" s="11"/>
      <c r="L18" s="11"/>
      <c r="M18" s="11"/>
      <c r="N18" s="12"/>
    </row>
    <row r="19" spans="1:14" ht="15" customHeight="1">
      <c r="A19" t="s">
        <v>59</v>
      </c>
      <c r="G19" t="s">
        <v>105</v>
      </c>
      <c r="I19" s="4"/>
    </row>
    <row r="20" spans="1:14" ht="15" customHeight="1">
      <c r="A20" s="88"/>
      <c r="B20" s="89"/>
      <c r="C20" s="89"/>
      <c r="D20" s="89"/>
      <c r="E20" s="90"/>
      <c r="G20" s="88"/>
      <c r="H20" s="89"/>
      <c r="I20" s="89"/>
      <c r="J20" s="89"/>
      <c r="K20" s="89"/>
      <c r="L20" s="89"/>
      <c r="M20" s="89"/>
      <c r="N20" s="90"/>
    </row>
    <row r="21" spans="1:14" ht="15" customHeight="1">
      <c r="A21" s="91"/>
      <c r="C21" s="86"/>
      <c r="D21" s="86"/>
      <c r="E21" s="92"/>
      <c r="G21" s="91"/>
      <c r="N21" s="92"/>
    </row>
    <row r="22" spans="1:14" ht="15" customHeight="1">
      <c r="A22" s="91"/>
      <c r="E22" s="92"/>
      <c r="G22" s="91"/>
      <c r="N22" s="92"/>
    </row>
    <row r="23" spans="1:14" ht="15" customHeight="1">
      <c r="A23" s="91"/>
      <c r="E23" s="92"/>
      <c r="G23" s="91"/>
      <c r="I23" s="134">
        <v>11</v>
      </c>
      <c r="N23" s="92"/>
    </row>
    <row r="24" spans="1:14" ht="15" customHeight="1">
      <c r="A24" s="91"/>
      <c r="E24" s="92"/>
      <c r="G24" s="91"/>
      <c r="I24" s="86">
        <f>'Data Input'!B3</f>
        <v>2013</v>
      </c>
      <c r="J24" s="86">
        <f>'Data Input'!C3</f>
        <v>2014</v>
      </c>
      <c r="K24" s="86">
        <f>'Data Input'!D3</f>
        <v>2015</v>
      </c>
      <c r="L24" s="86">
        <f>'Data Input'!E3</f>
        <v>2016</v>
      </c>
      <c r="M24" s="86">
        <f>'Data Input'!F3</f>
        <v>2017</v>
      </c>
      <c r="N24" s="92"/>
    </row>
    <row r="25" spans="1:14" ht="15" customHeight="1">
      <c r="A25" s="91"/>
      <c r="E25" s="92"/>
      <c r="G25" s="91"/>
      <c r="H25" t="str">
        <f>'Data Input'!A17</f>
        <v>General Government</v>
      </c>
      <c r="I25">
        <f>'Data Input'!B17</f>
        <v>1582054</v>
      </c>
      <c r="J25">
        <f>'Data Input'!C17</f>
        <v>1615985</v>
      </c>
      <c r="K25">
        <f>'Data Input'!D17</f>
        <v>1741645</v>
      </c>
      <c r="L25">
        <f>'Data Input'!E17</f>
        <v>1682686</v>
      </c>
      <c r="M25">
        <f>'Data Input'!F17</f>
        <v>1745623</v>
      </c>
      <c r="N25" s="92"/>
    </row>
    <row r="26" spans="1:14" ht="15" customHeight="1">
      <c r="A26" s="91"/>
      <c r="E26" s="92"/>
      <c r="G26" s="91"/>
      <c r="H26" t="str">
        <f>'Data Input'!A18</f>
        <v>Police &amp; Fire</v>
      </c>
      <c r="I26">
        <f>'Data Input'!B18</f>
        <v>6916650</v>
      </c>
      <c r="J26">
        <f>'Data Input'!C18</f>
        <v>7079715</v>
      </c>
      <c r="K26">
        <f>'Data Input'!D18</f>
        <v>7030430</v>
      </c>
      <c r="L26">
        <f>'Data Input'!E18</f>
        <v>6952252</v>
      </c>
      <c r="M26">
        <f>'Data Input'!F18</f>
        <v>5254447</v>
      </c>
      <c r="N26" s="92"/>
    </row>
    <row r="27" spans="1:14" ht="15" customHeight="1">
      <c r="A27" s="91"/>
      <c r="E27" s="92"/>
      <c r="G27" s="91"/>
      <c r="H27" t="str">
        <f>'Data Input'!A19</f>
        <v>Other Public Safety</v>
      </c>
      <c r="I27">
        <f>'Data Input'!B19</f>
        <v>498011</v>
      </c>
      <c r="J27">
        <f>'Data Input'!C19</f>
        <v>471888</v>
      </c>
      <c r="K27">
        <f>'Data Input'!D19</f>
        <v>536873</v>
      </c>
      <c r="L27">
        <f>'Data Input'!E19</f>
        <v>509627</v>
      </c>
      <c r="M27">
        <f>'Data Input'!F19</f>
        <v>392573</v>
      </c>
      <c r="N27" s="92"/>
    </row>
    <row r="28" spans="1:14" ht="15" customHeight="1">
      <c r="A28" s="91"/>
      <c r="E28" s="92"/>
      <c r="G28" s="91"/>
      <c r="H28" t="str">
        <f>'Data Input'!A20</f>
        <v xml:space="preserve">Roads </v>
      </c>
      <c r="I28">
        <f>'Data Input'!B20</f>
        <v>65493</v>
      </c>
      <c r="J28">
        <f>'Data Input'!C20</f>
        <v>44824</v>
      </c>
      <c r="K28">
        <f>'Data Input'!D20</f>
        <v>74968</v>
      </c>
      <c r="L28">
        <f>'Data Input'!E20</f>
        <v>437642</v>
      </c>
      <c r="M28">
        <f>'Data Input'!F20</f>
        <v>193064</v>
      </c>
      <c r="N28" s="92"/>
    </row>
    <row r="29" spans="1:14" ht="15" customHeight="1">
      <c r="A29" s="91"/>
      <c r="E29" s="92"/>
      <c r="G29" s="91"/>
      <c r="H29" t="str">
        <f>'Data Input'!A21</f>
        <v>Other Public Works</v>
      </c>
      <c r="I29">
        <f>'Data Input'!B21</f>
        <v>2489773</v>
      </c>
      <c r="J29">
        <f>'Data Input'!C21</f>
        <v>2737859</v>
      </c>
      <c r="K29">
        <f>'Data Input'!D21</f>
        <v>2712636</v>
      </c>
      <c r="L29">
        <f>'Data Input'!E21</f>
        <v>2794966</v>
      </c>
      <c r="M29">
        <f>'Data Input'!F21</f>
        <v>2819889</v>
      </c>
      <c r="N29" s="92"/>
    </row>
    <row r="30" spans="1:14" ht="15" customHeight="1">
      <c r="A30" s="91"/>
      <c r="E30" s="92"/>
      <c r="G30" s="91"/>
      <c r="H30" t="str">
        <f>'Data Input'!A22</f>
        <v>Health &amp; Welfare</v>
      </c>
      <c r="I30">
        <f>'Data Input'!B22</f>
        <v>0</v>
      </c>
      <c r="J30">
        <f>'Data Input'!C22</f>
        <v>0</v>
      </c>
      <c r="K30">
        <f>'Data Input'!D22</f>
        <v>0</v>
      </c>
      <c r="L30">
        <f>'Data Input'!E22</f>
        <v>0</v>
      </c>
      <c r="M30">
        <f>'Data Input'!F22</f>
        <v>0</v>
      </c>
      <c r="N30" s="92"/>
    </row>
    <row r="31" spans="1:14" ht="15" customHeight="1">
      <c r="A31" s="91"/>
      <c r="E31" s="92"/>
      <c r="G31" s="91"/>
      <c r="H31" t="str">
        <f>'Data Input'!A23</f>
        <v>Community/Econ. Development</v>
      </c>
      <c r="I31">
        <f>'Data Input'!B23</f>
        <v>303858</v>
      </c>
      <c r="J31">
        <f>'Data Input'!C23</f>
        <v>313899</v>
      </c>
      <c r="K31">
        <f>'Data Input'!D23</f>
        <v>363918</v>
      </c>
      <c r="L31">
        <f>'Data Input'!E23</f>
        <v>355467</v>
      </c>
      <c r="M31">
        <f>'Data Input'!F23</f>
        <v>340292</v>
      </c>
      <c r="N31" s="92"/>
    </row>
    <row r="32" spans="1:14" ht="15" customHeight="1">
      <c r="A32" s="91"/>
      <c r="E32" s="92"/>
      <c r="G32" s="91"/>
      <c r="H32" t="str">
        <f>'Data Input'!A24</f>
        <v>Recreation &amp; Culture</v>
      </c>
      <c r="I32">
        <f>'Data Input'!B24</f>
        <v>1789707</v>
      </c>
      <c r="J32">
        <f>'Data Input'!C24</f>
        <v>1719566</v>
      </c>
      <c r="K32">
        <f>'Data Input'!D24</f>
        <v>1780020</v>
      </c>
      <c r="L32">
        <f>'Data Input'!E24</f>
        <v>1757119</v>
      </c>
      <c r="M32">
        <f>'Data Input'!F24</f>
        <v>1772415</v>
      </c>
      <c r="N32" s="92"/>
    </row>
    <row r="33" spans="1:14" ht="15" customHeight="1">
      <c r="A33" s="91"/>
      <c r="E33" s="92"/>
      <c r="G33" s="91"/>
      <c r="H33" t="str">
        <f>'Data Input'!A25</f>
        <v>Capital Outlay</v>
      </c>
      <c r="I33">
        <f>'Data Input'!B25</f>
        <v>1680087</v>
      </c>
      <c r="J33">
        <f>'Data Input'!C25</f>
        <v>948906</v>
      </c>
      <c r="K33">
        <f>'Data Input'!D25</f>
        <v>409458</v>
      </c>
      <c r="L33">
        <f>'Data Input'!E25</f>
        <v>1321869</v>
      </c>
      <c r="M33">
        <f>'Data Input'!F25</f>
        <v>331914</v>
      </c>
      <c r="N33" s="92"/>
    </row>
    <row r="34" spans="1:14" ht="15" customHeight="1">
      <c r="A34" s="91"/>
      <c r="E34" s="92"/>
      <c r="G34" s="91"/>
      <c r="H34" t="str">
        <f>'Data Input'!A26</f>
        <v>Debt Service</v>
      </c>
      <c r="I34">
        <f>'Data Input'!B26</f>
        <v>0</v>
      </c>
      <c r="J34">
        <f>'Data Input'!C26</f>
        <v>0</v>
      </c>
      <c r="K34">
        <f>'Data Input'!D26</f>
        <v>0</v>
      </c>
      <c r="L34">
        <f>'Data Input'!E26</f>
        <v>0</v>
      </c>
      <c r="M34" t="str">
        <f>'Data Input'!F26</f>
        <v>-</v>
      </c>
      <c r="N34" s="92"/>
    </row>
    <row r="35" spans="1:14" ht="15" customHeight="1">
      <c r="A35" s="91"/>
      <c r="E35" s="92"/>
      <c r="G35" s="91"/>
      <c r="H35" t="str">
        <f>'Data Input'!A27</f>
        <v>Other Expenditures</v>
      </c>
      <c r="I35">
        <f>'Data Input'!B27</f>
        <v>3093467</v>
      </c>
      <c r="J35">
        <f>'Data Input'!C27</f>
        <v>2982018</v>
      </c>
      <c r="K35">
        <f>'Data Input'!D27</f>
        <v>2735154</v>
      </c>
      <c r="L35">
        <f>'Data Input'!E27</f>
        <v>2668988</v>
      </c>
      <c r="M35">
        <f>'Data Input'!F27</f>
        <v>4864378</v>
      </c>
      <c r="N35" s="92"/>
    </row>
    <row r="36" spans="1:14" ht="15" customHeight="1">
      <c r="A36" s="91"/>
      <c r="E36" s="92"/>
      <c r="G36" s="91"/>
      <c r="H36" t="str">
        <f>INDEX(H25:H35,$I$23)</f>
        <v>Other Expenditures</v>
      </c>
      <c r="I36">
        <f>INDEX(I25:I35,$I$23)</f>
        <v>3093467</v>
      </c>
      <c r="J36">
        <f t="shared" ref="J36:M36" si="1">INDEX(J25:J35,$I$23)</f>
        <v>2982018</v>
      </c>
      <c r="K36">
        <f t="shared" si="1"/>
        <v>2735154</v>
      </c>
      <c r="L36">
        <f t="shared" si="1"/>
        <v>2668988</v>
      </c>
      <c r="M36">
        <f t="shared" si="1"/>
        <v>4864378</v>
      </c>
      <c r="N36" s="92"/>
    </row>
    <row r="37" spans="1:14" ht="15" customHeight="1">
      <c r="A37" s="93"/>
      <c r="B37" s="94"/>
      <c r="C37" s="94"/>
      <c r="D37" s="94"/>
      <c r="E37" s="95"/>
      <c r="G37" s="93"/>
      <c r="H37" s="94"/>
      <c r="I37" s="94"/>
      <c r="J37" s="94"/>
      <c r="K37" s="94"/>
      <c r="L37" s="94"/>
      <c r="M37" s="94"/>
      <c r="N37" s="95"/>
    </row>
    <row r="39" spans="1:14" ht="15" customHeight="1">
      <c r="A39" s="147" t="s">
        <v>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</row>
    <row r="40" spans="1:14" ht="15" customHeight="1">
      <c r="A40" t="str">
        <f>CONCATENATE("For more information on our unit's finances, contact ",'[1]Data Input'!$C$78," at ",'[1]Data Input'!$C$79,".")</f>
        <v>For more information on our unit's finances, contact Rob Grose, Township Manager at (989) 791-9800.</v>
      </c>
    </row>
    <row r="43" spans="1:14" ht="15" customHeight="1">
      <c r="A43" s="14"/>
    </row>
    <row r="44" spans="1:14" ht="15" customHeight="1">
      <c r="A44" s="14"/>
    </row>
  </sheetData>
  <mergeCells count="2">
    <mergeCell ref="A39:N39"/>
    <mergeCell ref="A1:N1"/>
  </mergeCells>
  <printOptions horizontalCentered="1"/>
  <pageMargins left="0.2" right="0.2" top="0.5" bottom="0.5" header="0.25" footer="0.25"/>
  <pageSetup scale="85" orientation="landscape" r:id="rId1"/>
  <headerFooter alignWithMargins="0">
    <oddFooter>&amp;L&amp;"Calibri,Bold"CITIZEN'S GUIDE TO LOCAL UNIT FINANCES&amp;R&amp;"Calibri,Bold"&amp;A -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38" r:id="rId4" name="Drop Down 166">
              <controlPr defaultSize="0" autoLine="0" autoPict="0">
                <anchor moveWithCells="1">
                  <from>
                    <xdr:col>8</xdr:col>
                    <xdr:colOff>1318260</xdr:colOff>
                    <xdr:row>20</xdr:row>
                    <xdr:rowOff>0</xdr:rowOff>
                  </from>
                  <to>
                    <xdr:col>10</xdr:col>
                    <xdr:colOff>7620</xdr:colOff>
                    <xdr:row>21</xdr:row>
                    <xdr:rowOff>68580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36"/>
  <sheetViews>
    <sheetView zoomScale="85" zoomScaleNormal="85" workbookViewId="0">
      <selection activeCell="Q30" sqref="Q30"/>
    </sheetView>
  </sheetViews>
  <sheetFormatPr defaultColWidth="13" defaultRowHeight="15" customHeight="1"/>
  <cols>
    <col min="1" max="1" width="13" customWidth="1"/>
    <col min="2" max="3" width="13.6640625" customWidth="1"/>
    <col min="4" max="4" width="4.109375" customWidth="1"/>
    <col min="5" max="5" width="5.6640625" customWidth="1"/>
    <col min="6" max="6" width="13.6640625" customWidth="1"/>
    <col min="7" max="7" width="3.88671875" customWidth="1"/>
    <col min="8" max="9" width="2.88671875" customWidth="1"/>
    <col min="10" max="10" width="29" customWidth="1"/>
    <col min="11" max="12" width="17.44140625" customWidth="1"/>
    <col min="13" max="13" width="10.109375" customWidth="1"/>
    <col min="14" max="15" width="2.88671875" customWidth="1"/>
  </cols>
  <sheetData>
    <row r="1" spans="1:15" ht="15" customHeight="1">
      <c r="A1" s="151" t="str">
        <f>'Data Input'!A1:H1</f>
        <v>CITIZENS' GUIDE TO LOCAL UNIT FINANCES - Saginaw Charter Township - Saginaw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</row>
    <row r="2" spans="1:15" ht="15" customHeight="1">
      <c r="A2" t="s">
        <v>63</v>
      </c>
      <c r="H2" t="s">
        <v>168</v>
      </c>
    </row>
    <row r="3" spans="1:15" ht="15" customHeight="1">
      <c r="A3" s="88"/>
      <c r="B3" s="89"/>
      <c r="C3" s="89"/>
      <c r="D3" s="89"/>
      <c r="E3" s="89"/>
      <c r="F3" s="90"/>
      <c r="H3" s="88"/>
      <c r="I3" s="89"/>
      <c r="J3" s="89"/>
      <c r="K3" s="89"/>
      <c r="L3" s="89"/>
      <c r="M3" s="89"/>
      <c r="N3" s="89"/>
      <c r="O3" s="90"/>
    </row>
    <row r="4" spans="1:15" ht="19.5" customHeight="1">
      <c r="A4" s="91"/>
      <c r="B4" s="133">
        <f>'Data Input'!B3</f>
        <v>2013</v>
      </c>
      <c r="C4" s="133">
        <f>'Data Input'!C3</f>
        <v>2014</v>
      </c>
      <c r="D4" s="133">
        <f>'Data Input'!D3</f>
        <v>2015</v>
      </c>
      <c r="E4" s="133">
        <f>'Data Input'!E3</f>
        <v>2016</v>
      </c>
      <c r="F4" s="133">
        <f>'Data Input'!F3</f>
        <v>2017</v>
      </c>
      <c r="H4" s="91"/>
      <c r="J4" s="101"/>
      <c r="K4" s="102">
        <f>L4-1</f>
        <v>2016</v>
      </c>
      <c r="L4" s="102">
        <f>'Data Input'!F3</f>
        <v>2017</v>
      </c>
      <c r="M4" s="102" t="s">
        <v>12</v>
      </c>
      <c r="O4" s="92"/>
    </row>
    <row r="5" spans="1:15" ht="15" customHeight="1">
      <c r="A5" s="91" t="str">
        <f>'Data Input'!A15</f>
        <v>Total Revenues</v>
      </c>
      <c r="B5" s="92">
        <f>'Data Input'!B15</f>
        <v>16646492</v>
      </c>
      <c r="C5" s="92">
        <f>'Data Input'!C15</f>
        <v>16766136</v>
      </c>
      <c r="D5" s="92">
        <f>'Data Input'!D15</f>
        <v>19489039</v>
      </c>
      <c r="E5" s="92">
        <f>'Data Input'!E15</f>
        <v>20009057</v>
      </c>
      <c r="F5" s="92">
        <f>'Data Input'!F15</f>
        <v>19952365</v>
      </c>
      <c r="H5" s="91"/>
      <c r="J5" s="98" t="str">
        <f>'Data Input'!A5</f>
        <v>Revenues</v>
      </c>
      <c r="K5" s="99">
        <f>HLOOKUP(K4,'Data Input'!B3:D29,13)</f>
        <v>19489039</v>
      </c>
      <c r="L5" s="99">
        <f>'Data Input'!F15</f>
        <v>19952365</v>
      </c>
      <c r="M5" s="100">
        <f>IF(K5=0,"N/A",(L5-K5)/K5)</f>
        <v>2.3773670933697654E-2</v>
      </c>
      <c r="O5" s="92"/>
    </row>
    <row r="6" spans="1:15" ht="15.75" customHeight="1">
      <c r="A6" s="91" t="str">
        <f>'Data Input'!A28</f>
        <v>Total Expenditures</v>
      </c>
      <c r="B6" s="92">
        <f>'Data Input'!B28</f>
        <v>18419100</v>
      </c>
      <c r="C6" s="92">
        <f>'Data Input'!C28</f>
        <v>17914660</v>
      </c>
      <c r="D6" s="92">
        <f>'Data Input'!D28</f>
        <v>17385102</v>
      </c>
      <c r="E6" s="92">
        <f>'Data Input'!E28</f>
        <v>18480616</v>
      </c>
      <c r="F6" s="92">
        <f>'Data Input'!F28</f>
        <v>17714595</v>
      </c>
      <c r="H6" s="91"/>
      <c r="J6" s="98" t="str">
        <f>'Data Input'!A16</f>
        <v>Expenditures</v>
      </c>
      <c r="K6" s="99">
        <f>HLOOKUP(K4,'Data Input'!B3:E29,26)</f>
        <v>18480616</v>
      </c>
      <c r="L6" s="99">
        <f>'Data Input'!F28</f>
        <v>17714595</v>
      </c>
      <c r="M6" s="100">
        <f>IF(K6=0,"N/A",(L6-K6)/K6)</f>
        <v>-4.1449971148147878E-2</v>
      </c>
      <c r="O6" s="92"/>
    </row>
    <row r="7" spans="1:15" ht="15.75" customHeight="1">
      <c r="A7" s="91" t="str">
        <f>'Data Input'!A36</f>
        <v>Total Fund Balance</v>
      </c>
      <c r="B7" s="92">
        <f>'Data Input'!B36</f>
        <v>10847726</v>
      </c>
      <c r="C7" s="92">
        <f>'Data Input'!C36</f>
        <v>9699205</v>
      </c>
      <c r="D7" s="92">
        <f>'Data Input'!D36</f>
        <v>11803155</v>
      </c>
      <c r="E7" s="92">
        <f>'Data Input'!E36</f>
        <v>13331593</v>
      </c>
      <c r="F7" s="92">
        <f>'Data Input'!F36</f>
        <v>15569357</v>
      </c>
      <c r="H7" s="91"/>
      <c r="J7" s="103" t="str">
        <f>'Data Input'!A29</f>
        <v>Surplus (Shortfall)</v>
      </c>
      <c r="K7" s="99">
        <f>HLOOKUP(K4,'Data Input'!B3:E29,27)</f>
        <v>1528441</v>
      </c>
      <c r="L7" s="99">
        <f>'Data Input'!F29</f>
        <v>2237770</v>
      </c>
      <c r="M7" s="100">
        <f>IF(K7=0,"N/A",(L7-K7)/K7)</f>
        <v>0.4640866085115487</v>
      </c>
      <c r="O7" s="92"/>
    </row>
    <row r="8" spans="1:15" ht="15" customHeight="1">
      <c r="A8" s="91"/>
      <c r="F8" s="92"/>
      <c r="H8" s="91"/>
      <c r="O8" s="92"/>
    </row>
    <row r="9" spans="1:15" ht="19.5" customHeight="1">
      <c r="A9" s="91"/>
      <c r="F9" s="92"/>
      <c r="H9" s="91"/>
      <c r="J9" s="101" t="s">
        <v>85</v>
      </c>
      <c r="K9" s="102">
        <f>L9-1</f>
        <v>2016</v>
      </c>
      <c r="L9" s="102">
        <f>'Data Input'!F3</f>
        <v>2017</v>
      </c>
      <c r="M9" s="102" t="s">
        <v>12</v>
      </c>
      <c r="O9" s="92"/>
    </row>
    <row r="10" spans="1:15" ht="15" customHeight="1">
      <c r="A10" s="91"/>
      <c r="F10" s="92"/>
      <c r="H10" s="91"/>
      <c r="J10" s="98" t="str">
        <f>'Data Input'!A31</f>
        <v>Nonspendable</v>
      </c>
      <c r="K10" s="99">
        <f>HLOOKUP(K9,'Data Input'!B3:E36,29)</f>
        <v>317100</v>
      </c>
      <c r="L10" s="99">
        <f>'Data Input'!F31</f>
        <v>318102</v>
      </c>
      <c r="M10" s="100">
        <f t="shared" ref="M10:M15" si="0">IF(K10=0,"N/A",(L10-K10)/K10)</f>
        <v>3.1598864711447493E-3</v>
      </c>
      <c r="O10" s="92"/>
    </row>
    <row r="11" spans="1:15" ht="15" customHeight="1">
      <c r="A11" s="91"/>
      <c r="F11" s="92"/>
      <c r="H11" s="91"/>
      <c r="J11" s="98" t="str">
        <f>'Data Input'!A32</f>
        <v>Restricted</v>
      </c>
      <c r="K11" s="99">
        <f>HLOOKUP(K9,'Data Input'!B3:E36,30)</f>
        <v>5836495</v>
      </c>
      <c r="L11" s="99">
        <f>'Data Input'!F32</f>
        <v>7943412</v>
      </c>
      <c r="M11" s="100">
        <f t="shared" si="0"/>
        <v>0.36099011478635723</v>
      </c>
      <c r="O11" s="92"/>
    </row>
    <row r="12" spans="1:15" ht="15" customHeight="1">
      <c r="A12" s="91"/>
      <c r="F12" s="92"/>
      <c r="H12" s="91"/>
      <c r="J12" s="98" t="str">
        <f>'Data Input'!A33</f>
        <v>Committed</v>
      </c>
      <c r="K12" s="99">
        <f>HLOOKUP(K9,'Data Input'!B3:E36,31)</f>
        <v>954071</v>
      </c>
      <c r="L12" s="99">
        <f>'Data Input'!F33</f>
        <v>979983</v>
      </c>
      <c r="M12" s="100">
        <f t="shared" si="0"/>
        <v>2.7159404279136459E-2</v>
      </c>
      <c r="O12" s="92"/>
    </row>
    <row r="13" spans="1:15" ht="15.75" customHeight="1">
      <c r="A13" s="91"/>
      <c r="F13" s="92"/>
      <c r="H13" s="91"/>
      <c r="J13" s="98" t="str">
        <f>'Data Input'!A34</f>
        <v>Assigned</v>
      </c>
      <c r="K13" s="99">
        <f>HLOOKUP(K9,'Data Input'!B3:E36,32)</f>
        <v>1117773</v>
      </c>
      <c r="L13" s="99">
        <f>'Data Input'!F34</f>
        <v>1118003</v>
      </c>
      <c r="M13" s="100">
        <f t="shared" si="0"/>
        <v>2.0576628707259881E-4</v>
      </c>
      <c r="O13" s="92"/>
    </row>
    <row r="14" spans="1:15" ht="15.75" customHeight="1">
      <c r="A14" s="91"/>
      <c r="F14" s="92"/>
      <c r="H14" s="91"/>
      <c r="J14" s="98" t="str">
        <f>'Data Input'!A35</f>
        <v>Unassigned</v>
      </c>
      <c r="K14" s="99">
        <f>HLOOKUP(K9,'Data Input'!B3:E36,33)</f>
        <v>5106154</v>
      </c>
      <c r="L14" s="99">
        <f>'Data Input'!F35</f>
        <v>5209857</v>
      </c>
      <c r="M14" s="100">
        <f t="shared" si="0"/>
        <v>2.0309414874678671E-2</v>
      </c>
      <c r="O14" s="92"/>
    </row>
    <row r="15" spans="1:15" ht="15" customHeight="1">
      <c r="A15" s="91"/>
      <c r="F15" s="92"/>
      <c r="H15" s="91"/>
      <c r="J15" s="103" t="str">
        <f>'Data Input'!A36</f>
        <v>Total Fund Balance</v>
      </c>
      <c r="K15" s="99">
        <f>HLOOKUP(K9,'Data Input'!B3:E36,34)</f>
        <v>13331593</v>
      </c>
      <c r="L15" s="99">
        <f>'Data Input'!F36</f>
        <v>15569357</v>
      </c>
      <c r="M15" s="100">
        <f t="shared" si="0"/>
        <v>0.167854209170652</v>
      </c>
      <c r="O15" s="92"/>
    </row>
    <row r="16" spans="1:15" ht="15" customHeight="1">
      <c r="A16" s="91"/>
      <c r="F16" s="92"/>
      <c r="H16" s="91"/>
      <c r="O16" s="92"/>
    </row>
    <row r="17" spans="1:19" ht="15" customHeight="1">
      <c r="A17" s="93"/>
      <c r="B17" s="94"/>
      <c r="C17" s="94"/>
      <c r="D17" s="94"/>
      <c r="E17" s="94"/>
      <c r="F17" s="95"/>
      <c r="H17" s="93"/>
      <c r="I17" s="94"/>
      <c r="J17" s="94"/>
      <c r="K17" s="94"/>
      <c r="L17" s="94"/>
      <c r="M17" s="94"/>
      <c r="N17" s="94"/>
      <c r="O17" s="95"/>
    </row>
    <row r="18" spans="1:19" ht="15" customHeight="1">
      <c r="A18" t="s">
        <v>201</v>
      </c>
      <c r="H18" t="s">
        <v>30</v>
      </c>
    </row>
    <row r="19" spans="1:19" ht="15" customHeight="1">
      <c r="A19" s="88"/>
      <c r="B19" s="89"/>
      <c r="C19" s="89"/>
      <c r="D19" s="89"/>
      <c r="E19" s="89"/>
      <c r="F19" s="90"/>
      <c r="H19" s="88"/>
      <c r="I19" s="89"/>
      <c r="J19" s="104">
        <f>'Data Input'!B3</f>
        <v>2013</v>
      </c>
      <c r="K19" s="104">
        <f>'Data Input'!C3</f>
        <v>2014</v>
      </c>
      <c r="L19" s="104">
        <f>'Data Input'!D3</f>
        <v>2015</v>
      </c>
      <c r="M19" s="104">
        <f>'Data Input'!E3</f>
        <v>2016</v>
      </c>
      <c r="N19" s="104">
        <f>'Data Input'!F3</f>
        <v>2017</v>
      </c>
      <c r="O19" s="90"/>
    </row>
    <row r="20" spans="1:19" ht="15" customHeight="1">
      <c r="A20" s="91"/>
      <c r="C20" s="86"/>
      <c r="D20" s="86"/>
      <c r="F20" s="92"/>
      <c r="H20" s="91"/>
      <c r="I20" t="str">
        <f>'Data Input'!A31</f>
        <v>Nonspendable</v>
      </c>
      <c r="J20">
        <f>'Data Input'!B31</f>
        <v>411928</v>
      </c>
      <c r="K20">
        <f>'Data Input'!C31</f>
        <v>377249</v>
      </c>
      <c r="L20">
        <f>'Data Input'!D31</f>
        <v>220130</v>
      </c>
      <c r="M20">
        <f>'Data Input'!E31</f>
        <v>317100</v>
      </c>
      <c r="N20">
        <f>'Data Input'!F31</f>
        <v>318102</v>
      </c>
      <c r="O20" s="92"/>
    </row>
    <row r="21" spans="1:19" ht="15" customHeight="1">
      <c r="A21" s="91"/>
      <c r="F21" s="92"/>
      <c r="H21" s="91"/>
      <c r="I21" t="str">
        <f>'Data Input'!A32</f>
        <v>Restricted</v>
      </c>
      <c r="J21">
        <f>'Data Input'!B32</f>
        <v>5155039</v>
      </c>
      <c r="K21">
        <f>'Data Input'!C32</f>
        <v>4066214</v>
      </c>
      <c r="L21">
        <f>'Data Input'!D32</f>
        <v>5144572</v>
      </c>
      <c r="M21">
        <f>'Data Input'!E32</f>
        <v>5836495</v>
      </c>
      <c r="N21">
        <f>'Data Input'!F32</f>
        <v>7943412</v>
      </c>
      <c r="O21" s="92"/>
      <c r="S21" t="s">
        <v>25</v>
      </c>
    </row>
    <row r="22" spans="1:19" ht="15" customHeight="1">
      <c r="A22" s="91"/>
      <c r="F22" s="92"/>
      <c r="H22" s="91"/>
      <c r="I22" t="str">
        <f>'Data Input'!A33</f>
        <v>Committed</v>
      </c>
      <c r="J22">
        <f>'Data Input'!B33</f>
        <v>0</v>
      </c>
      <c r="K22">
        <f>'Data Input'!C33</f>
        <v>0</v>
      </c>
      <c r="L22">
        <f>'Data Input'!D33</f>
        <v>0</v>
      </c>
      <c r="M22">
        <f>'Data Input'!E33</f>
        <v>954071</v>
      </c>
      <c r="N22">
        <f>'Data Input'!F33</f>
        <v>979983</v>
      </c>
      <c r="O22" s="92"/>
    </row>
    <row r="23" spans="1:19" ht="15" customHeight="1">
      <c r="A23" s="91"/>
      <c r="F23" s="92"/>
      <c r="H23" s="91"/>
      <c r="I23" t="str">
        <f>'Data Input'!A34</f>
        <v>Assigned</v>
      </c>
      <c r="J23">
        <f>'Data Input'!B34</f>
        <v>129398</v>
      </c>
      <c r="K23">
        <f>'Data Input'!C34</f>
        <v>166736</v>
      </c>
      <c r="L23">
        <f>'Data Input'!D34</f>
        <v>1104832</v>
      </c>
      <c r="M23">
        <f>'Data Input'!E34</f>
        <v>1117773</v>
      </c>
      <c r="N23">
        <f>'Data Input'!F34</f>
        <v>1118003</v>
      </c>
      <c r="O23" s="92"/>
    </row>
    <row r="24" spans="1:19" ht="15" customHeight="1">
      <c r="A24" s="91"/>
      <c r="F24" s="92"/>
      <c r="H24" s="91"/>
      <c r="I24" t="str">
        <f>'Data Input'!A35</f>
        <v>Unassigned</v>
      </c>
      <c r="J24">
        <f>'Data Input'!B35</f>
        <v>5151361</v>
      </c>
      <c r="K24">
        <f>'Data Input'!C35</f>
        <v>5089006</v>
      </c>
      <c r="L24">
        <f>'Data Input'!D35</f>
        <v>5333621</v>
      </c>
      <c r="M24">
        <f>'Data Input'!E35</f>
        <v>5106154</v>
      </c>
      <c r="N24">
        <f>'Data Input'!F35</f>
        <v>5209857</v>
      </c>
      <c r="O24" s="92"/>
    </row>
    <row r="25" spans="1:19" ht="15" customHeight="1">
      <c r="A25" s="91"/>
      <c r="F25" s="92"/>
      <c r="H25" s="91"/>
      <c r="O25" s="92"/>
    </row>
    <row r="26" spans="1:19" ht="15" customHeight="1">
      <c r="A26" s="91"/>
      <c r="F26" s="92"/>
      <c r="H26" s="91"/>
      <c r="O26" s="92"/>
    </row>
    <row r="27" spans="1:19" ht="15" customHeight="1">
      <c r="A27" s="91"/>
      <c r="F27" s="92"/>
      <c r="H27" s="91"/>
      <c r="O27" s="92"/>
    </row>
    <row r="28" spans="1:19" ht="15" customHeight="1">
      <c r="A28" s="91"/>
      <c r="F28" s="92"/>
      <c r="H28" s="91"/>
      <c r="O28" s="92"/>
    </row>
    <row r="29" spans="1:19" ht="15" customHeight="1">
      <c r="A29" s="91"/>
      <c r="F29" s="92"/>
      <c r="H29" s="91"/>
      <c r="O29" s="92"/>
    </row>
    <row r="30" spans="1:19" ht="15" customHeight="1">
      <c r="A30" s="91"/>
      <c r="F30" s="92"/>
      <c r="H30" s="91"/>
      <c r="O30" s="92"/>
    </row>
    <row r="31" spans="1:19" ht="15" customHeight="1">
      <c r="A31" s="91"/>
      <c r="F31" s="92"/>
      <c r="H31" s="91"/>
      <c r="O31" s="92"/>
    </row>
    <row r="32" spans="1:19" ht="15" customHeight="1">
      <c r="A32" s="91"/>
      <c r="F32" s="92"/>
      <c r="H32" s="91"/>
      <c r="O32" s="92"/>
    </row>
    <row r="33" spans="1:21" ht="15" customHeight="1">
      <c r="A33" s="93"/>
      <c r="B33" s="94"/>
      <c r="C33" s="94"/>
      <c r="D33" s="94"/>
      <c r="E33" s="94"/>
      <c r="F33" s="95"/>
      <c r="H33" s="93"/>
      <c r="I33" s="94"/>
      <c r="J33" s="94"/>
      <c r="K33" s="94"/>
      <c r="L33" s="94"/>
      <c r="M33" s="94"/>
      <c r="N33" s="94"/>
      <c r="O33" s="95"/>
    </row>
    <row r="35" spans="1:21" ht="19.5" customHeight="1">
      <c r="A35" s="152" t="s">
        <v>7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4"/>
      <c r="P35" s="13"/>
      <c r="Q35" s="13"/>
      <c r="R35" s="13"/>
      <c r="S35" s="13"/>
      <c r="T35" s="13"/>
      <c r="U35" s="13"/>
    </row>
    <row r="36" spans="1:21" ht="15" customHeight="1">
      <c r="A36" t="str">
        <f>CONCATENATE("For more information on our unit's finances, contact ",'[1]Data Input'!$C$78," at ",'[1]Data Input'!$C$79,".")</f>
        <v>For more information on our unit's finances, contact Rob Grose, Township Manager at (989) 791-9800.</v>
      </c>
    </row>
  </sheetData>
  <mergeCells count="2">
    <mergeCell ref="A1:O1"/>
    <mergeCell ref="A35:O35"/>
  </mergeCells>
  <printOptions horizontalCentered="1"/>
  <pageMargins left="0.2" right="0.2" top="0.5" bottom="0.5" header="0.25" footer="0.25"/>
  <pageSetup scale="87" fitToHeight="0" orientation="landscape" r:id="rId1"/>
  <headerFooter alignWithMargins="0">
    <oddFooter>&amp;L&amp;"Calibri,Bold"CITIZEN'S GUIDE TO LOCAL UNIT FINANCES&amp;R&amp;"Calibri,Bold"&amp;A -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W38"/>
  <sheetViews>
    <sheetView topLeftCell="A28" zoomScale="85" zoomScaleNormal="85" workbookViewId="0">
      <selection activeCell="V42" sqref="V42"/>
    </sheetView>
  </sheetViews>
  <sheetFormatPr defaultColWidth="9" defaultRowHeight="15" customHeight="1"/>
  <cols>
    <col min="1" max="1" width="9.109375" customWidth="1"/>
    <col min="2" max="2" width="9" customWidth="1"/>
    <col min="3" max="6" width="2.88671875" customWidth="1"/>
    <col min="7" max="7" width="4.88671875" customWidth="1"/>
    <col min="8" max="8" width="9" customWidth="1"/>
    <col min="9" max="9" width="2.44140625" customWidth="1"/>
    <col min="10" max="12" width="9" customWidth="1"/>
    <col min="13" max="16" width="2.88671875" customWidth="1"/>
    <col min="17" max="17" width="5.109375" customWidth="1"/>
    <col min="18" max="18" width="8.5546875" customWidth="1"/>
    <col min="19" max="19" width="12.88671875" customWidth="1"/>
    <col min="20" max="20" width="10.44140625" customWidth="1"/>
    <col min="21" max="21" width="10.88671875" customWidth="1"/>
    <col min="22" max="22" width="15.109375" customWidth="1"/>
    <col min="23" max="23" width="15" customWidth="1"/>
  </cols>
  <sheetData>
    <row r="1" spans="1:23" ht="15" customHeight="1">
      <c r="A1" s="151" t="str">
        <f>'Data Input'!A1:H1</f>
        <v>CITIZENS' GUIDE TO LOCAL UNIT FINANCES - Saginaw Charter Township - Saginaw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</row>
    <row r="2" spans="1:23" ht="16.5" customHeight="1">
      <c r="A2" t="s">
        <v>130</v>
      </c>
      <c r="I2" s="2" t="s">
        <v>144</v>
      </c>
      <c r="Q2" s="3"/>
      <c r="S2" t="s">
        <v>89</v>
      </c>
    </row>
    <row r="3" spans="1:23" ht="16.5" customHeight="1">
      <c r="A3" s="88"/>
      <c r="B3" s="89"/>
      <c r="C3" s="89"/>
      <c r="D3" s="89"/>
      <c r="E3" s="89"/>
      <c r="F3" s="89"/>
      <c r="G3" s="89"/>
      <c r="H3" s="90"/>
      <c r="J3" s="88"/>
      <c r="K3" s="89"/>
      <c r="L3" s="89"/>
      <c r="M3" s="89"/>
      <c r="N3" s="89"/>
      <c r="O3" s="89"/>
      <c r="P3" s="89"/>
      <c r="Q3" s="90"/>
      <c r="S3" s="88"/>
      <c r="T3" s="89"/>
      <c r="U3" s="89"/>
      <c r="V3" s="89"/>
      <c r="W3" s="90"/>
    </row>
    <row r="4" spans="1:23" ht="16.5" customHeight="1">
      <c r="A4" s="91"/>
      <c r="C4" s="86">
        <f>'Data Input'!B3</f>
        <v>2013</v>
      </c>
      <c r="D4" s="86">
        <f>'Data Input'!C3</f>
        <v>2014</v>
      </c>
      <c r="E4" s="86">
        <f>'Data Input'!D3</f>
        <v>2015</v>
      </c>
      <c r="F4" s="86">
        <f>'Data Input'!E3</f>
        <v>2016</v>
      </c>
      <c r="G4" s="86">
        <f>'Data Input'!F3</f>
        <v>2017</v>
      </c>
      <c r="H4" s="92"/>
      <c r="J4" s="91"/>
      <c r="L4" s="86">
        <f>'Data Input'!B3</f>
        <v>2013</v>
      </c>
      <c r="M4" s="86">
        <f>'Data Input'!C3</f>
        <v>2014</v>
      </c>
      <c r="N4" s="86">
        <f>'Data Input'!D3</f>
        <v>2015</v>
      </c>
      <c r="O4" s="86">
        <f>'Data Input'!E3</f>
        <v>2016</v>
      </c>
      <c r="P4" s="86">
        <f>'Data Input'!F3</f>
        <v>2017</v>
      </c>
      <c r="Q4" s="92"/>
      <c r="S4" s="91"/>
      <c r="U4" s="86">
        <f>'Data Input'!E3</f>
        <v>2016</v>
      </c>
      <c r="V4" s="86">
        <f>'Data Input'!F3</f>
        <v>2017</v>
      </c>
      <c r="W4" s="92"/>
    </row>
    <row r="5" spans="1:23" ht="16.5" customHeight="1">
      <c r="A5" s="91"/>
      <c r="B5" t="str">
        <f>'Data Input'!A40</f>
        <v>Assets</v>
      </c>
      <c r="C5">
        <f>'Data Input'!B40</f>
        <v>11943638</v>
      </c>
      <c r="D5">
        <f>'Data Input'!C40</f>
        <v>12452833</v>
      </c>
      <c r="E5">
        <f>'Data Input'!D40</f>
        <v>12878070</v>
      </c>
      <c r="F5">
        <f>'Data Input'!E40</f>
        <v>13025500</v>
      </c>
      <c r="G5">
        <f>'Data Input'!F40</f>
        <v>13174974</v>
      </c>
      <c r="H5" s="92"/>
      <c r="J5" s="91"/>
      <c r="K5" t="str">
        <f>'Data Input'!A46</f>
        <v>Assets</v>
      </c>
      <c r="L5">
        <f>'Data Input'!B46</f>
        <v>1120014</v>
      </c>
      <c r="M5">
        <f>'Data Input'!C46</f>
        <v>1441306</v>
      </c>
      <c r="N5">
        <f>'Data Input'!D46</f>
        <v>2046725</v>
      </c>
      <c r="O5">
        <f>'Data Input'!E46</f>
        <v>2566542</v>
      </c>
      <c r="P5">
        <f>'Data Input'!F46</f>
        <v>3049204</v>
      </c>
      <c r="Q5" s="92"/>
      <c r="S5" s="91"/>
      <c r="T5" t="str">
        <f>'Data Input'!A38</f>
        <v>Pensions</v>
      </c>
      <c r="U5" s="122">
        <f>'Data Input'!E43</f>
        <v>0.67715522957696339</v>
      </c>
      <c r="V5" s="122">
        <f>'Data Input'!F43</f>
        <v>0.66015889843088316</v>
      </c>
      <c r="W5" s="92"/>
    </row>
    <row r="6" spans="1:23" ht="16.5" customHeight="1">
      <c r="A6" s="91"/>
      <c r="B6" t="str">
        <f>'Data Input'!A41</f>
        <v>Actuarial Liability</v>
      </c>
      <c r="C6">
        <f>'Data Input'!B41</f>
        <v>17972554</v>
      </c>
      <c r="D6">
        <f>'Data Input'!C41</f>
        <v>18385752</v>
      </c>
      <c r="E6">
        <f>'Data Input'!D41</f>
        <v>19426480</v>
      </c>
      <c r="F6">
        <f>'Data Input'!E41</f>
        <v>19235619</v>
      </c>
      <c r="G6">
        <f>'Data Input'!F41</f>
        <v>19957277</v>
      </c>
      <c r="H6" s="92"/>
      <c r="J6" s="91"/>
      <c r="K6" t="str">
        <f>'Data Input'!A47</f>
        <v>Actuarial Liability</v>
      </c>
      <c r="L6">
        <f>'Data Input'!B47</f>
        <v>11400758</v>
      </c>
      <c r="M6">
        <f>'Data Input'!C47</f>
        <v>11978801</v>
      </c>
      <c r="N6">
        <f>'Data Input'!D47</f>
        <v>12520108</v>
      </c>
      <c r="O6">
        <f>'Data Input'!E47</f>
        <v>10109362</v>
      </c>
      <c r="P6">
        <f>'Data Input'!F47</f>
        <v>10477968</v>
      </c>
      <c r="Q6" s="92"/>
      <c r="S6" s="91"/>
      <c r="T6" t="str">
        <f>'Data Input'!A44</f>
        <v>OPEB</v>
      </c>
      <c r="U6" s="122">
        <f>'Data Input'!E49</f>
        <v>0.25387774223536558</v>
      </c>
      <c r="V6" s="122">
        <f>'Data Input'!F49</f>
        <v>0.2910110051872653</v>
      </c>
      <c r="W6" s="92"/>
    </row>
    <row r="7" spans="1:23" ht="16.5" customHeight="1">
      <c r="A7" s="91"/>
      <c r="H7" s="92"/>
      <c r="J7" s="91"/>
      <c r="Q7" s="92"/>
      <c r="S7" s="91"/>
      <c r="T7" t="str">
        <f>'Data Input'!A50</f>
        <v>Sum of All Pension &amp; OPEB Plans</v>
      </c>
      <c r="U7" s="122">
        <f>'Data Input'!E54</f>
        <v>0.5313359037444938</v>
      </c>
      <c r="V7" s="122">
        <f>'Data Input'!F54</f>
        <v>0.53307203539843362</v>
      </c>
      <c r="W7" s="92"/>
    </row>
    <row r="8" spans="1:23" ht="16.5" customHeight="1">
      <c r="A8" s="91"/>
      <c r="H8" s="92"/>
      <c r="J8" s="91"/>
      <c r="Q8" s="92"/>
      <c r="S8" s="91"/>
      <c r="W8" s="92"/>
    </row>
    <row r="9" spans="1:23" ht="16.5" customHeight="1">
      <c r="A9" s="91"/>
      <c r="H9" s="92"/>
      <c r="J9" s="91"/>
      <c r="Q9" s="92"/>
      <c r="S9" s="91"/>
      <c r="W9" s="92"/>
    </row>
    <row r="10" spans="1:23" ht="16.5" customHeight="1">
      <c r="A10" s="91"/>
      <c r="H10" s="92"/>
      <c r="J10" s="91"/>
      <c r="Q10" s="92"/>
      <c r="S10" s="91"/>
      <c r="W10" s="92"/>
    </row>
    <row r="11" spans="1:23" ht="16.5" customHeight="1">
      <c r="A11" s="91"/>
      <c r="H11" s="92"/>
      <c r="J11" s="91"/>
      <c r="Q11" s="92"/>
      <c r="S11" s="91"/>
      <c r="W11" s="92"/>
    </row>
    <row r="12" spans="1:23" ht="16.5" customHeight="1">
      <c r="A12" s="91"/>
      <c r="H12" s="92"/>
      <c r="J12" s="91"/>
      <c r="Q12" s="92"/>
      <c r="S12" s="91"/>
      <c r="W12" s="92"/>
    </row>
    <row r="13" spans="1:23" ht="16.5" customHeight="1">
      <c r="A13" s="91"/>
      <c r="H13" s="92"/>
      <c r="J13" s="91"/>
      <c r="Q13" s="92"/>
      <c r="S13" s="91"/>
      <c r="W13" s="92"/>
    </row>
    <row r="14" spans="1:23" ht="16.5" customHeight="1">
      <c r="A14" s="91"/>
      <c r="H14" s="92"/>
      <c r="J14" s="91"/>
      <c r="Q14" s="92"/>
      <c r="S14" s="91"/>
      <c r="W14" s="92"/>
    </row>
    <row r="15" spans="1:23" ht="16.5" customHeight="1">
      <c r="A15" s="91"/>
      <c r="H15" s="92"/>
      <c r="J15" s="91"/>
      <c r="Q15" s="92"/>
      <c r="S15" s="91"/>
      <c r="W15" s="92"/>
    </row>
    <row r="16" spans="1:23" ht="16.5" customHeight="1">
      <c r="A16" s="91"/>
      <c r="H16" s="92"/>
      <c r="J16" s="91"/>
      <c r="Q16" s="92"/>
      <c r="S16" s="91"/>
      <c r="W16" s="92"/>
    </row>
    <row r="17" spans="1:23" ht="16.5" customHeight="1">
      <c r="A17" s="93"/>
      <c r="B17" s="94"/>
      <c r="C17" s="94"/>
      <c r="D17" s="94"/>
      <c r="E17" s="94"/>
      <c r="F17" s="94"/>
      <c r="G17" s="94"/>
      <c r="H17" s="95"/>
      <c r="J17" s="93"/>
      <c r="K17" s="94"/>
      <c r="L17" s="94"/>
      <c r="M17" s="94"/>
      <c r="N17" s="94"/>
      <c r="O17" s="94"/>
      <c r="P17" s="94"/>
      <c r="Q17" s="95"/>
      <c r="S17" s="93"/>
      <c r="T17" s="94"/>
      <c r="U17" s="94"/>
      <c r="V17" s="94"/>
      <c r="W17" s="95"/>
    </row>
    <row r="18" spans="1:23" ht="16.5" customHeight="1">
      <c r="A18" t="s">
        <v>188</v>
      </c>
      <c r="O18" s="1"/>
      <c r="P18" t="s">
        <v>129</v>
      </c>
    </row>
    <row r="19" spans="1:23" ht="16.5" customHeigh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90"/>
      <c r="P19" s="88"/>
      <c r="Q19" s="89"/>
      <c r="R19" s="89"/>
      <c r="S19" s="89"/>
      <c r="T19" s="89"/>
      <c r="U19" s="89"/>
      <c r="V19" s="89"/>
      <c r="W19" s="90"/>
    </row>
    <row r="20" spans="1:23" ht="16.5" customHeight="1">
      <c r="A20" s="91"/>
      <c r="C20" s="86">
        <f>'Data Input'!B3</f>
        <v>2013</v>
      </c>
      <c r="D20" s="86">
        <f>'Data Input'!C3</f>
        <v>2014</v>
      </c>
      <c r="E20" s="86">
        <f>'Data Input'!D3</f>
        <v>2015</v>
      </c>
      <c r="F20" s="86">
        <f>'Data Input'!E3</f>
        <v>2016</v>
      </c>
      <c r="G20" s="86">
        <f>'Data Input'!F3</f>
        <v>2017</v>
      </c>
      <c r="N20" s="92"/>
      <c r="P20" s="91"/>
      <c r="R20" s="86">
        <f>'Data Input'!G3</f>
        <v>2016</v>
      </c>
      <c r="S20" s="86">
        <f>'Data Input'!H3</f>
        <v>2017</v>
      </c>
      <c r="W20" s="92"/>
    </row>
    <row r="21" spans="1:23" ht="16.5" customHeight="1">
      <c r="A21" s="91"/>
      <c r="B21" t="str">
        <f>'Data Input'!A59</f>
        <v>Structured Debt</v>
      </c>
      <c r="C21">
        <f>'Data Input'!B59</f>
        <v>0</v>
      </c>
      <c r="D21">
        <f>'Data Input'!C59</f>
        <v>0</v>
      </c>
      <c r="E21">
        <f>'Data Input'!D59</f>
        <v>0</v>
      </c>
      <c r="F21">
        <f>'Data Input'!E59</f>
        <v>0</v>
      </c>
      <c r="G21">
        <f>'Data Input'!F59</f>
        <v>0</v>
      </c>
      <c r="N21" s="92"/>
      <c r="P21" s="91"/>
      <c r="Q21" t="str">
        <f>'Data Input'!A59</f>
        <v>Structured Debt</v>
      </c>
      <c r="R21" s="135">
        <f>'Data Input'!G59</f>
        <v>0</v>
      </c>
      <c r="S21" s="135">
        <f>'Data Input'!H59</f>
        <v>0</v>
      </c>
      <c r="W21" s="92"/>
    </row>
    <row r="22" spans="1:23" ht="16.5" customHeight="1">
      <c r="A22" s="91"/>
      <c r="B22" t="str">
        <f>'Data Input'!A60</f>
        <v>Employee Compensated Absences</v>
      </c>
      <c r="C22">
        <f>'Data Input'!B60</f>
        <v>921961</v>
      </c>
      <c r="D22">
        <f>'Data Input'!C60</f>
        <v>910050</v>
      </c>
      <c r="E22">
        <f>'Data Input'!D60</f>
        <v>950975</v>
      </c>
      <c r="F22">
        <f>'Data Input'!E60</f>
        <v>885511</v>
      </c>
      <c r="G22">
        <f>'Data Input'!F60</f>
        <v>864570</v>
      </c>
      <c r="N22" s="92"/>
      <c r="P22" s="91"/>
      <c r="Q22" t="str">
        <f>'Data Input'!A60</f>
        <v>Employee Compensated Absences</v>
      </c>
      <c r="R22" s="135">
        <f>'Data Input'!G60</f>
        <v>22</v>
      </c>
      <c r="S22" s="135">
        <f>'Data Input'!H60</f>
        <v>21</v>
      </c>
      <c r="W22" s="92"/>
    </row>
    <row r="23" spans="1:23" ht="16.5" customHeight="1">
      <c r="A23" s="91"/>
      <c r="B23" t="str">
        <f>'Data Input'!A61</f>
        <v>Landfill Closure &amp; Postclosure Care</v>
      </c>
      <c r="C23">
        <f>'Data Input'!B61</f>
        <v>0</v>
      </c>
      <c r="D23">
        <f>'Data Input'!C61</f>
        <v>0</v>
      </c>
      <c r="E23">
        <f>'Data Input'!D61</f>
        <v>0</v>
      </c>
      <c r="F23">
        <f>'Data Input'!E61</f>
        <v>0</v>
      </c>
      <c r="G23">
        <f>'Data Input'!F61</f>
        <v>0</v>
      </c>
      <c r="N23" s="92"/>
      <c r="P23" s="91"/>
      <c r="Q23" t="str">
        <f>'Data Input'!A61</f>
        <v>Landfill Closure &amp; Postclosure Care</v>
      </c>
      <c r="R23" s="135">
        <f>'Data Input'!G61</f>
        <v>0</v>
      </c>
      <c r="S23" s="135">
        <f>'Data Input'!H61</f>
        <v>0</v>
      </c>
      <c r="W23" s="92"/>
    </row>
    <row r="24" spans="1:23" ht="16.5" customHeight="1">
      <c r="A24" s="91"/>
      <c r="B24" t="str">
        <f>'Data Input'!A62</f>
        <v>Uninsured Losses</v>
      </c>
      <c r="C24">
        <f>'Data Input'!B62</f>
        <v>0</v>
      </c>
      <c r="D24">
        <f>'Data Input'!C62</f>
        <v>0</v>
      </c>
      <c r="E24">
        <f>'Data Input'!D62</f>
        <v>0</v>
      </c>
      <c r="F24">
        <f>'Data Input'!E62</f>
        <v>0</v>
      </c>
      <c r="G24">
        <f>'Data Input'!F62</f>
        <v>0</v>
      </c>
      <c r="N24" s="92"/>
      <c r="P24" s="91"/>
      <c r="Q24" t="str">
        <f>'Data Input'!A62</f>
        <v>Uninsured Losses</v>
      </c>
      <c r="R24" s="135">
        <f>'Data Input'!G62</f>
        <v>0</v>
      </c>
      <c r="S24" s="135">
        <f>'Data Input'!H62</f>
        <v>0</v>
      </c>
      <c r="W24" s="92"/>
    </row>
    <row r="25" spans="1:23" ht="16.5" customHeight="1">
      <c r="A25" s="91"/>
      <c r="B25" t="str">
        <f>'Data Input'!A63</f>
        <v>Other Claims &amp; Contingencies</v>
      </c>
      <c r="C25">
        <f>'Data Input'!B63</f>
        <v>0</v>
      </c>
      <c r="D25">
        <f>'Data Input'!C63</f>
        <v>0</v>
      </c>
      <c r="E25">
        <f>'Data Input'!D63</f>
        <v>0</v>
      </c>
      <c r="F25">
        <f>'Data Input'!E63</f>
        <v>0</v>
      </c>
      <c r="G25">
        <f>'Data Input'!F63</f>
        <v>0</v>
      </c>
      <c r="N25" s="92"/>
      <c r="P25" s="91"/>
      <c r="Q25" t="str">
        <f>'Data Input'!A63</f>
        <v>Other Claims &amp; Contingencies</v>
      </c>
      <c r="R25" s="135">
        <f>'Data Input'!G63</f>
        <v>0</v>
      </c>
      <c r="S25" s="135">
        <f>'Data Input'!H63</f>
        <v>0</v>
      </c>
      <c r="W25" s="92"/>
    </row>
    <row r="26" spans="1:23" ht="16.5" customHeight="1">
      <c r="A26" s="91"/>
      <c r="N26" s="92"/>
      <c r="P26" s="91"/>
      <c r="W26" s="92"/>
    </row>
    <row r="27" spans="1:23" ht="16.5" customHeight="1">
      <c r="A27" s="91"/>
      <c r="N27" s="92"/>
      <c r="P27" s="91"/>
      <c r="W27" s="92"/>
    </row>
    <row r="28" spans="1:23" ht="16.5" customHeight="1">
      <c r="A28" s="91"/>
      <c r="N28" s="92"/>
      <c r="P28" s="91"/>
      <c r="W28" s="92"/>
    </row>
    <row r="29" spans="1:23" ht="16.5" customHeight="1">
      <c r="A29" s="91"/>
      <c r="N29" s="92"/>
      <c r="P29" s="91"/>
      <c r="W29" s="92"/>
    </row>
    <row r="30" spans="1:23" ht="16.5" customHeight="1">
      <c r="A30" s="91"/>
      <c r="N30" s="92"/>
      <c r="P30" s="91"/>
      <c r="W30" s="92"/>
    </row>
    <row r="31" spans="1:23" ht="16.5" customHeight="1">
      <c r="A31" s="91"/>
      <c r="N31" s="92"/>
      <c r="P31" s="91"/>
      <c r="W31" s="92"/>
    </row>
    <row r="32" spans="1:23" ht="16.5" customHeight="1">
      <c r="A32" s="91"/>
      <c r="N32" s="92"/>
      <c r="P32" s="91"/>
      <c r="W32" s="92"/>
    </row>
    <row r="33" spans="1:23" ht="16.5" customHeight="1">
      <c r="A33" s="93"/>
      <c r="B33" s="94"/>
      <c r="C33" s="94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5"/>
      <c r="P33" s="93"/>
      <c r="Q33" s="94"/>
      <c r="R33" s="94"/>
      <c r="S33" s="94"/>
      <c r="T33" s="94"/>
      <c r="U33" s="94"/>
      <c r="V33" s="94"/>
      <c r="W33" s="95"/>
    </row>
    <row r="34" spans="1:23" ht="16.5" customHeight="1"/>
    <row r="35" spans="1:23" ht="15.6" customHeight="1">
      <c r="A35" s="140" t="s">
        <v>212</v>
      </c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2"/>
    </row>
    <row r="36" spans="1:23" ht="15.6" customHeight="1">
      <c r="A36" s="155" t="s">
        <v>213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7"/>
    </row>
    <row r="37" spans="1:23" ht="23.25" customHeight="1">
      <c r="A37" s="158" t="s">
        <v>214</v>
      </c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60"/>
    </row>
    <row r="38" spans="1:23" ht="15" customHeight="1">
      <c r="A38" t="str">
        <f>CONCATENATE("For more information on our unit's finances, contact ",'[1]Data Input'!$C$78," at ",'[1]Data Input'!$C$79,".")</f>
        <v>For more information on our unit's finances, contact Rob Grose, Township Manager at (989) 791-9800.</v>
      </c>
    </row>
  </sheetData>
  <mergeCells count="3">
    <mergeCell ref="A1:W1"/>
    <mergeCell ref="A36:W36"/>
    <mergeCell ref="A37:W37"/>
  </mergeCells>
  <printOptions horizontalCentered="1"/>
  <pageMargins left="0.2" right="0.2" top="0.5" bottom="0.5" header="0.25" footer="0.25"/>
  <pageSetup scale="82" fitToHeight="0" orientation="landscape" r:id="rId1"/>
  <headerFooter alignWithMargins="0">
    <oddFooter>&amp;L&amp;"Calibri,Bold"CITIZEN'S GUIDE TO LOCAL UNIT FINANCES&amp;R&amp;"Calibri,Bold"&amp;A -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H139"/>
  <sheetViews>
    <sheetView topLeftCell="A22" zoomScaleNormal="100" workbookViewId="0">
      <selection activeCell="L10" sqref="L10"/>
    </sheetView>
  </sheetViews>
  <sheetFormatPr defaultColWidth="9" defaultRowHeight="14.4"/>
  <cols>
    <col min="1" max="1" width="9.109375" customWidth="1"/>
    <col min="2" max="2" width="36" style="48" customWidth="1"/>
    <col min="3" max="3" width="18.6640625" style="48" customWidth="1"/>
    <col min="4" max="8" width="16.33203125" customWidth="1"/>
  </cols>
  <sheetData>
    <row r="1" spans="1:8" ht="16.2">
      <c r="A1" s="123" t="s">
        <v>107</v>
      </c>
      <c r="B1" s="124" t="s">
        <v>172</v>
      </c>
      <c r="C1" s="124" t="s">
        <v>71</v>
      </c>
      <c r="D1" s="125">
        <v>2011</v>
      </c>
      <c r="E1" s="125">
        <v>2012</v>
      </c>
      <c r="F1" s="125">
        <v>2013</v>
      </c>
      <c r="G1" s="125">
        <v>2014</v>
      </c>
      <c r="H1" s="125">
        <v>2015</v>
      </c>
    </row>
    <row r="2" spans="1:8">
      <c r="A2" s="126"/>
      <c r="B2" s="127" t="s">
        <v>106</v>
      </c>
      <c r="C2" s="127"/>
      <c r="D2" s="126"/>
      <c r="E2" s="126"/>
      <c r="F2" s="126"/>
      <c r="G2" s="126"/>
      <c r="H2" s="126"/>
    </row>
    <row r="3" spans="1:8">
      <c r="A3" s="126"/>
      <c r="B3" s="128" t="s">
        <v>66</v>
      </c>
      <c r="C3" s="128"/>
      <c r="D3" s="126"/>
      <c r="E3" s="126"/>
      <c r="F3" s="126"/>
      <c r="G3" s="126"/>
      <c r="H3" s="126"/>
    </row>
    <row r="4" spans="1:8">
      <c r="A4" s="126">
        <v>101</v>
      </c>
      <c r="B4" s="128" t="s">
        <v>19</v>
      </c>
      <c r="C4" s="129" t="s">
        <v>138</v>
      </c>
      <c r="D4" s="130">
        <v>7419996</v>
      </c>
      <c r="E4" s="130">
        <v>7065917</v>
      </c>
      <c r="F4" s="130">
        <v>6869460</v>
      </c>
      <c r="G4" s="130">
        <v>6872816</v>
      </c>
      <c r="H4" s="130">
        <v>9881709</v>
      </c>
    </row>
    <row r="5" spans="1:8">
      <c r="A5" s="126">
        <v>102</v>
      </c>
      <c r="B5" s="128" t="s">
        <v>195</v>
      </c>
      <c r="C5" s="129" t="s">
        <v>138</v>
      </c>
      <c r="D5" s="130">
        <v>0</v>
      </c>
      <c r="E5" s="130">
        <v>0</v>
      </c>
      <c r="F5" s="130">
        <v>0</v>
      </c>
      <c r="G5" s="130">
        <v>0</v>
      </c>
      <c r="H5" s="130">
        <v>0</v>
      </c>
    </row>
    <row r="6" spans="1:8">
      <c r="A6" s="126">
        <v>103</v>
      </c>
      <c r="B6" s="128" t="s">
        <v>79</v>
      </c>
      <c r="C6" s="129" t="s">
        <v>138</v>
      </c>
      <c r="D6" s="130">
        <v>0</v>
      </c>
      <c r="E6" s="130">
        <v>0</v>
      </c>
      <c r="F6" s="130">
        <v>0</v>
      </c>
      <c r="G6" s="130">
        <v>0</v>
      </c>
      <c r="H6" s="130">
        <v>0</v>
      </c>
    </row>
    <row r="7" spans="1:8">
      <c r="A7" s="126">
        <v>104</v>
      </c>
      <c r="B7" s="128" t="s">
        <v>149</v>
      </c>
      <c r="C7" s="129" t="s">
        <v>138</v>
      </c>
      <c r="D7" s="130">
        <v>3700</v>
      </c>
      <c r="E7" s="130">
        <v>4406</v>
      </c>
      <c r="F7" s="130">
        <v>4067</v>
      </c>
      <c r="G7" s="130">
        <v>4016</v>
      </c>
      <c r="H7" s="130">
        <v>3962</v>
      </c>
    </row>
    <row r="8" spans="1:8">
      <c r="A8" s="126">
        <v>105</v>
      </c>
      <c r="B8" s="128" t="s">
        <v>180</v>
      </c>
      <c r="C8" s="129" t="s">
        <v>138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</row>
    <row r="9" spans="1:8">
      <c r="A9" s="126">
        <v>106</v>
      </c>
      <c r="B9" s="128" t="s">
        <v>35</v>
      </c>
      <c r="C9" s="129" t="s">
        <v>138</v>
      </c>
      <c r="D9" s="130">
        <v>0</v>
      </c>
      <c r="E9" s="130">
        <v>0</v>
      </c>
      <c r="F9" s="130">
        <v>0</v>
      </c>
      <c r="G9" s="130">
        <v>0</v>
      </c>
      <c r="H9" s="130">
        <v>0</v>
      </c>
    </row>
    <row r="10" spans="1:8">
      <c r="A10" s="126">
        <v>107</v>
      </c>
      <c r="B10" s="128" t="s">
        <v>49</v>
      </c>
      <c r="C10" s="129" t="s">
        <v>138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</row>
    <row r="11" spans="1:8">
      <c r="A11" s="126">
        <v>108</v>
      </c>
      <c r="B11" s="128" t="s">
        <v>84</v>
      </c>
      <c r="C11" s="129" t="s">
        <v>41</v>
      </c>
      <c r="D11" s="130">
        <v>694028</v>
      </c>
      <c r="E11" s="130">
        <v>721216</v>
      </c>
      <c r="F11" s="130">
        <v>750308</v>
      </c>
      <c r="G11" s="130">
        <v>782275</v>
      </c>
      <c r="H11" s="130">
        <v>825719</v>
      </c>
    </row>
    <row r="12" spans="1:8">
      <c r="A12" s="126">
        <v>109</v>
      </c>
      <c r="B12" s="128" t="s">
        <v>164</v>
      </c>
      <c r="C12" s="129" t="s">
        <v>41</v>
      </c>
      <c r="D12" s="130">
        <v>334102</v>
      </c>
      <c r="E12" s="130">
        <v>366339</v>
      </c>
      <c r="F12" s="130">
        <v>359017</v>
      </c>
      <c r="G12" s="130">
        <v>348916</v>
      </c>
      <c r="H12" s="130">
        <v>372970</v>
      </c>
    </row>
    <row r="13" spans="1:8">
      <c r="A13" s="126">
        <v>110</v>
      </c>
      <c r="B13" s="128" t="s">
        <v>132</v>
      </c>
      <c r="C13" s="129" t="s">
        <v>91</v>
      </c>
      <c r="D13" s="130">
        <v>0</v>
      </c>
      <c r="E13" s="130">
        <v>0</v>
      </c>
      <c r="F13" s="130">
        <v>42850</v>
      </c>
      <c r="G13" s="130">
        <v>0</v>
      </c>
      <c r="H13" s="130">
        <v>0</v>
      </c>
    </row>
    <row r="14" spans="1:8">
      <c r="A14" s="126">
        <v>111</v>
      </c>
      <c r="B14" s="128" t="s">
        <v>17</v>
      </c>
      <c r="C14" s="129" t="s">
        <v>91</v>
      </c>
      <c r="D14" s="130">
        <v>59066</v>
      </c>
      <c r="E14" s="130">
        <v>5026</v>
      </c>
      <c r="F14" s="130">
        <v>20366</v>
      </c>
      <c r="G14" s="130">
        <v>17623</v>
      </c>
      <c r="H14" s="130">
        <v>32846</v>
      </c>
    </row>
    <row r="15" spans="1:8">
      <c r="A15" s="126">
        <v>112</v>
      </c>
      <c r="B15" s="128" t="s">
        <v>55</v>
      </c>
      <c r="C15" s="129" t="s">
        <v>91</v>
      </c>
      <c r="D15" s="130">
        <v>0</v>
      </c>
      <c r="E15" s="130">
        <v>0</v>
      </c>
      <c r="F15" s="130">
        <v>0</v>
      </c>
      <c r="G15" s="130">
        <v>0</v>
      </c>
      <c r="H15" s="130">
        <v>0</v>
      </c>
    </row>
    <row r="16" spans="1:8">
      <c r="A16" s="126">
        <v>113</v>
      </c>
      <c r="B16" s="128" t="s">
        <v>5</v>
      </c>
      <c r="C16" s="129" t="s">
        <v>91</v>
      </c>
      <c r="D16" s="130">
        <v>0</v>
      </c>
      <c r="E16" s="130">
        <v>0</v>
      </c>
      <c r="F16" s="130">
        <v>0</v>
      </c>
      <c r="G16" s="130">
        <v>0</v>
      </c>
      <c r="H16" s="130">
        <v>0</v>
      </c>
    </row>
    <row r="17" spans="1:8" ht="28.8">
      <c r="A17" s="126">
        <v>114</v>
      </c>
      <c r="B17" s="128" t="s">
        <v>4</v>
      </c>
      <c r="C17" s="129" t="s">
        <v>91</v>
      </c>
      <c r="D17" s="130">
        <v>0</v>
      </c>
      <c r="E17" s="130">
        <v>0</v>
      </c>
      <c r="F17" s="130">
        <v>0</v>
      </c>
      <c r="G17" s="130">
        <v>0</v>
      </c>
      <c r="H17" s="130">
        <v>0</v>
      </c>
    </row>
    <row r="18" spans="1:8">
      <c r="A18" s="126">
        <v>115</v>
      </c>
      <c r="B18" s="128" t="s">
        <v>182</v>
      </c>
      <c r="C18" s="129" t="s">
        <v>91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</row>
    <row r="19" spans="1:8">
      <c r="A19" s="126">
        <v>116</v>
      </c>
      <c r="B19" s="128" t="s">
        <v>90</v>
      </c>
      <c r="C19" s="129" t="s">
        <v>91</v>
      </c>
      <c r="D19" s="130">
        <v>40190</v>
      </c>
      <c r="E19" s="130">
        <v>0</v>
      </c>
      <c r="F19" s="130">
        <v>0</v>
      </c>
      <c r="G19" s="130">
        <v>346100</v>
      </c>
      <c r="H19" s="130">
        <v>0</v>
      </c>
    </row>
    <row r="20" spans="1:8" ht="28.8">
      <c r="A20" s="126">
        <v>117</v>
      </c>
      <c r="B20" s="128" t="s">
        <v>196</v>
      </c>
      <c r="C20" s="129" t="s">
        <v>91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</row>
    <row r="21" spans="1:8">
      <c r="A21" s="126">
        <v>118</v>
      </c>
      <c r="B21" s="128" t="s">
        <v>102</v>
      </c>
      <c r="C21" s="129" t="s">
        <v>91</v>
      </c>
      <c r="D21" s="130">
        <v>0</v>
      </c>
      <c r="E21" s="130">
        <v>0</v>
      </c>
      <c r="F21" s="130">
        <v>0</v>
      </c>
      <c r="G21" s="130">
        <v>0</v>
      </c>
      <c r="H21" s="130">
        <v>0</v>
      </c>
    </row>
    <row r="22" spans="1:8">
      <c r="A22" s="126">
        <v>119</v>
      </c>
      <c r="B22" s="128" t="s">
        <v>141</v>
      </c>
      <c r="C22" s="129" t="s">
        <v>91</v>
      </c>
      <c r="D22" s="130">
        <v>0</v>
      </c>
      <c r="E22" s="130">
        <v>0</v>
      </c>
      <c r="F22" s="130">
        <v>0</v>
      </c>
      <c r="G22" s="130">
        <v>0</v>
      </c>
      <c r="H22" s="130">
        <v>0</v>
      </c>
    </row>
    <row r="23" spans="1:8">
      <c r="A23" s="126">
        <v>120</v>
      </c>
      <c r="B23" s="128" t="s">
        <v>67</v>
      </c>
      <c r="C23" s="129" t="s">
        <v>91</v>
      </c>
      <c r="D23" s="130">
        <v>0</v>
      </c>
      <c r="E23" s="130">
        <v>0</v>
      </c>
      <c r="F23" s="130">
        <v>0</v>
      </c>
      <c r="G23" s="130">
        <v>0</v>
      </c>
      <c r="H23" s="130">
        <v>0</v>
      </c>
    </row>
    <row r="24" spans="1:8">
      <c r="A24" s="126">
        <v>121</v>
      </c>
      <c r="B24" s="128" t="s">
        <v>11</v>
      </c>
      <c r="C24" s="129" t="s">
        <v>91</v>
      </c>
      <c r="D24" s="130">
        <v>0</v>
      </c>
      <c r="E24" s="130">
        <v>0</v>
      </c>
      <c r="F24" s="130">
        <v>0</v>
      </c>
      <c r="G24" s="130">
        <v>0</v>
      </c>
      <c r="H24" s="130">
        <v>0</v>
      </c>
    </row>
    <row r="25" spans="1:8">
      <c r="A25" s="126">
        <v>122</v>
      </c>
      <c r="B25" s="128" t="s">
        <v>78</v>
      </c>
      <c r="C25" s="129" t="s">
        <v>6</v>
      </c>
      <c r="D25" s="130">
        <v>2581864</v>
      </c>
      <c r="E25" s="130">
        <v>2983647</v>
      </c>
      <c r="F25" s="130">
        <v>2966320</v>
      </c>
      <c r="G25" s="130">
        <v>3019935</v>
      </c>
      <c r="H25" s="130">
        <v>3219867</v>
      </c>
    </row>
    <row r="26" spans="1:8">
      <c r="A26" s="126">
        <v>123</v>
      </c>
      <c r="B26" s="128" t="s">
        <v>29</v>
      </c>
      <c r="C26" s="129" t="s">
        <v>6</v>
      </c>
      <c r="D26" s="130">
        <v>11573</v>
      </c>
      <c r="E26" s="130">
        <v>0</v>
      </c>
      <c r="F26" s="130">
        <v>0</v>
      </c>
      <c r="G26" s="130">
        <v>0</v>
      </c>
      <c r="H26" s="130">
        <v>0</v>
      </c>
    </row>
    <row r="27" spans="1:8">
      <c r="A27" s="126">
        <v>124</v>
      </c>
      <c r="B27" s="128" t="s">
        <v>92</v>
      </c>
      <c r="C27" s="129" t="s">
        <v>6</v>
      </c>
      <c r="D27" s="130">
        <v>7819</v>
      </c>
      <c r="E27" s="130">
        <v>7985</v>
      </c>
      <c r="F27" s="130">
        <v>7853</v>
      </c>
      <c r="G27" s="130">
        <v>7975</v>
      </c>
      <c r="H27" s="130">
        <v>8039</v>
      </c>
    </row>
    <row r="28" spans="1:8">
      <c r="A28" s="126">
        <v>125</v>
      </c>
      <c r="B28" s="128" t="s">
        <v>114</v>
      </c>
      <c r="C28" s="129" t="s">
        <v>6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</row>
    <row r="29" spans="1:8">
      <c r="A29" s="126">
        <v>126</v>
      </c>
      <c r="B29" s="128" t="s">
        <v>87</v>
      </c>
      <c r="C29" s="129" t="s">
        <v>6</v>
      </c>
      <c r="D29" s="130">
        <v>126087</v>
      </c>
      <c r="E29" s="130">
        <v>138792</v>
      </c>
      <c r="F29" s="130">
        <v>142438</v>
      </c>
      <c r="G29" s="130">
        <v>119835</v>
      </c>
      <c r="H29" s="130">
        <v>118902</v>
      </c>
    </row>
    <row r="30" spans="1:8">
      <c r="A30" s="126">
        <v>127</v>
      </c>
      <c r="B30" s="128" t="s">
        <v>148</v>
      </c>
      <c r="C30" s="129" t="s">
        <v>6</v>
      </c>
      <c r="D30" s="130">
        <v>0</v>
      </c>
      <c r="E30" s="130">
        <v>0</v>
      </c>
      <c r="F30" s="130">
        <v>0</v>
      </c>
      <c r="G30" s="130">
        <v>0</v>
      </c>
      <c r="H30" s="130">
        <v>0</v>
      </c>
    </row>
    <row r="31" spans="1:8">
      <c r="A31" s="126">
        <v>128</v>
      </c>
      <c r="B31" s="128" t="s">
        <v>120</v>
      </c>
      <c r="C31" s="129" t="s">
        <v>6</v>
      </c>
      <c r="D31" s="130">
        <v>0</v>
      </c>
      <c r="E31" s="130">
        <v>0</v>
      </c>
      <c r="F31" s="130">
        <v>0</v>
      </c>
      <c r="G31" s="130">
        <v>0</v>
      </c>
      <c r="H31" s="130">
        <v>0</v>
      </c>
    </row>
    <row r="32" spans="1:8">
      <c r="A32" s="126">
        <v>129</v>
      </c>
      <c r="B32" s="128" t="s">
        <v>108</v>
      </c>
      <c r="C32" s="129" t="s">
        <v>6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</row>
    <row r="33" spans="1:8">
      <c r="A33" s="126">
        <v>130</v>
      </c>
      <c r="B33" s="128" t="s">
        <v>3</v>
      </c>
      <c r="C33" s="129" t="s">
        <v>6</v>
      </c>
      <c r="D33" s="130">
        <v>0</v>
      </c>
      <c r="E33" s="130">
        <v>0</v>
      </c>
      <c r="F33" s="130">
        <v>0</v>
      </c>
      <c r="G33" s="130">
        <v>0</v>
      </c>
      <c r="H33" s="130">
        <v>0</v>
      </c>
    </row>
    <row r="34" spans="1:8">
      <c r="A34" s="126">
        <v>131</v>
      </c>
      <c r="B34" s="128" t="s">
        <v>174</v>
      </c>
      <c r="C34" s="129" t="s">
        <v>6</v>
      </c>
      <c r="D34" s="130">
        <v>0</v>
      </c>
      <c r="E34" s="130">
        <v>0</v>
      </c>
      <c r="F34" s="130">
        <v>0</v>
      </c>
      <c r="G34" s="130">
        <v>0</v>
      </c>
      <c r="H34" s="130">
        <v>0</v>
      </c>
    </row>
    <row r="35" spans="1:8">
      <c r="A35" s="126">
        <v>132</v>
      </c>
      <c r="B35" s="128" t="s">
        <v>34</v>
      </c>
      <c r="C35" s="129" t="s">
        <v>6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</row>
    <row r="36" spans="1:8" ht="28.8">
      <c r="A36" s="126">
        <v>133</v>
      </c>
      <c r="B36" s="128" t="s">
        <v>117</v>
      </c>
      <c r="C36" s="129" t="s">
        <v>6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</row>
    <row r="37" spans="1:8">
      <c r="A37" s="126">
        <v>134</v>
      </c>
      <c r="B37" s="128" t="s">
        <v>163</v>
      </c>
      <c r="C37" s="129" t="s">
        <v>6</v>
      </c>
      <c r="D37" s="130">
        <v>0</v>
      </c>
      <c r="E37" s="130">
        <v>0</v>
      </c>
      <c r="F37" s="130">
        <v>0</v>
      </c>
      <c r="G37" s="130">
        <v>0</v>
      </c>
      <c r="H37" s="130">
        <v>0</v>
      </c>
    </row>
    <row r="38" spans="1:8">
      <c r="A38" s="126">
        <v>135</v>
      </c>
      <c r="B38" s="128" t="s">
        <v>54</v>
      </c>
      <c r="C38" s="129" t="s">
        <v>6</v>
      </c>
      <c r="D38" s="130">
        <v>0</v>
      </c>
      <c r="E38" s="130">
        <v>0</v>
      </c>
      <c r="F38" s="130">
        <v>0</v>
      </c>
      <c r="G38" s="130">
        <v>0</v>
      </c>
      <c r="H38" s="130">
        <v>0</v>
      </c>
    </row>
    <row r="39" spans="1:8">
      <c r="A39" s="126">
        <v>136</v>
      </c>
      <c r="B39" s="128" t="s">
        <v>183</v>
      </c>
      <c r="C39" s="129" t="s">
        <v>6</v>
      </c>
      <c r="D39" s="130">
        <v>0</v>
      </c>
      <c r="E39" s="130">
        <v>0</v>
      </c>
      <c r="F39" s="130">
        <v>0</v>
      </c>
      <c r="G39" s="130">
        <v>0</v>
      </c>
      <c r="H39" s="130">
        <v>0</v>
      </c>
    </row>
    <row r="40" spans="1:8">
      <c r="A40" s="126">
        <v>137</v>
      </c>
      <c r="B40" s="128" t="s">
        <v>133</v>
      </c>
      <c r="C40" s="129" t="s">
        <v>6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</row>
    <row r="41" spans="1:8">
      <c r="A41" s="126">
        <v>138</v>
      </c>
      <c r="B41" s="128" t="s">
        <v>162</v>
      </c>
      <c r="C41" s="129" t="s">
        <v>73</v>
      </c>
      <c r="D41" s="130">
        <v>0</v>
      </c>
      <c r="E41" s="130">
        <v>0</v>
      </c>
      <c r="F41" s="130">
        <v>23100</v>
      </c>
      <c r="G41" s="130">
        <v>29453</v>
      </c>
      <c r="H41" s="130">
        <v>52053</v>
      </c>
    </row>
    <row r="42" spans="1:8">
      <c r="A42" s="126">
        <v>139</v>
      </c>
      <c r="B42" s="128" t="s">
        <v>86</v>
      </c>
      <c r="C42" s="129" t="s">
        <v>73</v>
      </c>
      <c r="D42" s="130">
        <v>0</v>
      </c>
      <c r="E42" s="130">
        <v>0</v>
      </c>
      <c r="F42" s="130">
        <v>0</v>
      </c>
      <c r="G42" s="130">
        <v>0</v>
      </c>
      <c r="H42" s="130">
        <v>0</v>
      </c>
    </row>
    <row r="43" spans="1:8">
      <c r="A43" s="126">
        <v>140</v>
      </c>
      <c r="B43" s="128" t="s">
        <v>57</v>
      </c>
      <c r="C43" s="129" t="s">
        <v>73</v>
      </c>
      <c r="D43" s="130">
        <v>57750</v>
      </c>
      <c r="E43" s="130">
        <v>151612</v>
      </c>
      <c r="F43" s="130">
        <v>0</v>
      </c>
      <c r="G43" s="130">
        <v>0</v>
      </c>
      <c r="H43" s="130">
        <v>0</v>
      </c>
    </row>
    <row r="44" spans="1:8">
      <c r="A44" s="126">
        <v>141</v>
      </c>
      <c r="B44" s="128" t="s">
        <v>192</v>
      </c>
      <c r="C44" s="129" t="s">
        <v>73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</row>
    <row r="45" spans="1:8">
      <c r="A45" s="126">
        <v>142</v>
      </c>
      <c r="B45" s="128" t="s">
        <v>18</v>
      </c>
      <c r="C45" s="129" t="s">
        <v>73</v>
      </c>
      <c r="D45" s="130">
        <v>0</v>
      </c>
      <c r="E45" s="130">
        <v>0</v>
      </c>
      <c r="F45" s="130">
        <v>0</v>
      </c>
      <c r="G45" s="130">
        <v>0</v>
      </c>
      <c r="H45" s="130">
        <v>0</v>
      </c>
    </row>
    <row r="46" spans="1:8">
      <c r="A46" s="126">
        <v>143</v>
      </c>
      <c r="B46" s="128" t="s">
        <v>171</v>
      </c>
      <c r="C46" s="129" t="s">
        <v>73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</row>
    <row r="47" spans="1:8">
      <c r="A47" s="126">
        <v>144</v>
      </c>
      <c r="B47" s="128" t="s">
        <v>121</v>
      </c>
      <c r="C47" s="129" t="s">
        <v>73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</row>
    <row r="48" spans="1:8" ht="28.8">
      <c r="A48" s="126">
        <v>145</v>
      </c>
      <c r="B48" s="128" t="s">
        <v>26</v>
      </c>
      <c r="C48" s="129" t="s">
        <v>73</v>
      </c>
      <c r="D48" s="130">
        <v>1370</v>
      </c>
      <c r="E48" s="130">
        <v>10291</v>
      </c>
      <c r="F48" s="130">
        <v>18899</v>
      </c>
      <c r="G48" s="130">
        <v>7916</v>
      </c>
      <c r="H48" s="130">
        <v>11698</v>
      </c>
    </row>
    <row r="49" spans="1:8">
      <c r="A49" s="126">
        <v>146</v>
      </c>
      <c r="B49" s="128" t="s">
        <v>76</v>
      </c>
      <c r="C49" s="129" t="s">
        <v>73</v>
      </c>
      <c r="D49" s="130">
        <v>0</v>
      </c>
      <c r="E49" s="130">
        <v>0</v>
      </c>
      <c r="F49" s="130">
        <v>0</v>
      </c>
      <c r="G49" s="130">
        <v>0</v>
      </c>
      <c r="H49" s="130">
        <v>0</v>
      </c>
    </row>
    <row r="50" spans="1:8">
      <c r="A50" s="126">
        <v>147</v>
      </c>
      <c r="B50" s="128" t="s">
        <v>81</v>
      </c>
      <c r="C50" s="129" t="s">
        <v>73</v>
      </c>
      <c r="D50" s="130">
        <v>0</v>
      </c>
      <c r="E50" s="130">
        <v>0</v>
      </c>
      <c r="F50" s="130">
        <v>0</v>
      </c>
      <c r="G50" s="130">
        <v>0</v>
      </c>
      <c r="H50" s="130">
        <v>0</v>
      </c>
    </row>
    <row r="51" spans="1:8">
      <c r="A51" s="126">
        <v>148</v>
      </c>
      <c r="B51" s="128" t="s">
        <v>68</v>
      </c>
      <c r="C51" s="129" t="s">
        <v>73</v>
      </c>
      <c r="D51" s="130">
        <v>0</v>
      </c>
      <c r="E51" s="130">
        <v>0</v>
      </c>
      <c r="F51" s="130">
        <v>0</v>
      </c>
      <c r="G51" s="130">
        <v>0</v>
      </c>
      <c r="H51" s="130">
        <v>0</v>
      </c>
    </row>
    <row r="52" spans="1:8">
      <c r="A52" s="126">
        <v>149</v>
      </c>
      <c r="B52" s="128" t="s">
        <v>39</v>
      </c>
      <c r="C52" s="129" t="s">
        <v>161</v>
      </c>
      <c r="D52" s="130">
        <v>0</v>
      </c>
      <c r="E52" s="130">
        <v>0</v>
      </c>
      <c r="F52" s="130">
        <v>0</v>
      </c>
      <c r="G52" s="130">
        <v>0</v>
      </c>
      <c r="H52" s="130">
        <v>0</v>
      </c>
    </row>
    <row r="53" spans="1:8">
      <c r="A53" s="126">
        <v>150</v>
      </c>
      <c r="B53" s="128" t="s">
        <v>40</v>
      </c>
      <c r="C53" s="129" t="s">
        <v>161</v>
      </c>
      <c r="D53" s="130">
        <v>0</v>
      </c>
      <c r="E53" s="130">
        <v>0</v>
      </c>
      <c r="F53" s="130">
        <v>0</v>
      </c>
      <c r="G53" s="130">
        <v>0</v>
      </c>
      <c r="H53" s="130">
        <v>0</v>
      </c>
    </row>
    <row r="54" spans="1:8">
      <c r="A54" s="126">
        <v>151</v>
      </c>
      <c r="B54" s="128" t="s">
        <v>151</v>
      </c>
      <c r="C54" s="129" t="s">
        <v>161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</row>
    <row r="55" spans="1:8">
      <c r="A55" s="126">
        <v>152</v>
      </c>
      <c r="B55" s="128" t="s">
        <v>60</v>
      </c>
      <c r="C55" s="129" t="s">
        <v>161</v>
      </c>
      <c r="D55" s="130">
        <v>0</v>
      </c>
      <c r="E55" s="130">
        <v>0</v>
      </c>
      <c r="F55" s="130">
        <v>0</v>
      </c>
      <c r="G55" s="130">
        <v>0</v>
      </c>
      <c r="H55" s="130">
        <v>0</v>
      </c>
    </row>
    <row r="56" spans="1:8">
      <c r="A56" s="126">
        <v>153</v>
      </c>
      <c r="B56" s="128" t="s">
        <v>98</v>
      </c>
      <c r="C56" s="129" t="s">
        <v>161</v>
      </c>
      <c r="D56" s="130">
        <v>0</v>
      </c>
      <c r="E56" s="130">
        <v>0</v>
      </c>
      <c r="F56" s="130">
        <v>0</v>
      </c>
      <c r="G56" s="130">
        <v>0</v>
      </c>
      <c r="H56" s="130">
        <v>0</v>
      </c>
    </row>
    <row r="57" spans="1:8">
      <c r="A57" s="126">
        <v>154</v>
      </c>
      <c r="B57" s="128" t="s">
        <v>131</v>
      </c>
      <c r="C57" s="129" t="s">
        <v>161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</row>
    <row r="58" spans="1:8">
      <c r="A58" s="126">
        <v>155</v>
      </c>
      <c r="B58" s="128" t="s">
        <v>203</v>
      </c>
      <c r="C58" s="129" t="s">
        <v>161</v>
      </c>
      <c r="D58" s="130">
        <v>0</v>
      </c>
      <c r="E58" s="130">
        <v>0</v>
      </c>
      <c r="F58" s="130">
        <v>0</v>
      </c>
      <c r="G58" s="130">
        <v>0</v>
      </c>
      <c r="H58" s="130">
        <v>0</v>
      </c>
    </row>
    <row r="59" spans="1:8">
      <c r="A59" s="126">
        <v>156</v>
      </c>
      <c r="B59" s="128" t="s">
        <v>124</v>
      </c>
      <c r="C59" s="129" t="s">
        <v>161</v>
      </c>
      <c r="D59" s="130">
        <v>107827</v>
      </c>
      <c r="E59" s="130">
        <v>93469</v>
      </c>
      <c r="F59" s="130">
        <v>87059</v>
      </c>
      <c r="G59" s="130">
        <v>87596</v>
      </c>
      <c r="H59" s="130">
        <v>87326</v>
      </c>
    </row>
    <row r="60" spans="1:8">
      <c r="A60" s="126">
        <v>157</v>
      </c>
      <c r="B60" s="128" t="s">
        <v>31</v>
      </c>
      <c r="C60" s="129" t="s">
        <v>161</v>
      </c>
      <c r="D60" s="130">
        <v>1628700</v>
      </c>
      <c r="E60" s="130">
        <v>1642039</v>
      </c>
      <c r="F60" s="130">
        <v>1626940</v>
      </c>
      <c r="G60" s="130">
        <v>1631411</v>
      </c>
      <c r="H60" s="130">
        <v>1633805</v>
      </c>
    </row>
    <row r="61" spans="1:8">
      <c r="A61" s="126">
        <v>158</v>
      </c>
      <c r="B61" s="128" t="s">
        <v>115</v>
      </c>
      <c r="C61" s="129" t="s">
        <v>161</v>
      </c>
      <c r="D61" s="130">
        <v>359591</v>
      </c>
      <c r="E61" s="130">
        <v>327610</v>
      </c>
      <c r="F61" s="130">
        <v>313426</v>
      </c>
      <c r="G61" s="130">
        <v>289616</v>
      </c>
      <c r="H61" s="130">
        <v>289435</v>
      </c>
    </row>
    <row r="62" spans="1:8">
      <c r="A62" s="126">
        <v>159</v>
      </c>
      <c r="B62" s="128" t="s">
        <v>74</v>
      </c>
      <c r="C62" s="129" t="s">
        <v>161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</row>
    <row r="63" spans="1:8">
      <c r="A63" s="126">
        <v>160</v>
      </c>
      <c r="B63" s="128" t="s">
        <v>75</v>
      </c>
      <c r="C63" s="129" t="s">
        <v>161</v>
      </c>
      <c r="D63" s="130">
        <v>22332</v>
      </c>
      <c r="E63" s="130">
        <v>18017</v>
      </c>
      <c r="F63" s="130">
        <v>19123</v>
      </c>
      <c r="G63" s="130">
        <v>21946</v>
      </c>
      <c r="H63" s="130">
        <v>24003</v>
      </c>
    </row>
    <row r="64" spans="1:8">
      <c r="A64" s="126">
        <v>161</v>
      </c>
      <c r="B64" s="128" t="s">
        <v>43</v>
      </c>
      <c r="C64" s="129" t="s">
        <v>0</v>
      </c>
      <c r="D64" s="130">
        <v>170707</v>
      </c>
      <c r="E64" s="130">
        <v>174475</v>
      </c>
      <c r="F64" s="130">
        <v>134633</v>
      </c>
      <c r="G64" s="130">
        <v>125726</v>
      </c>
      <c r="H64" s="130">
        <v>110662</v>
      </c>
    </row>
    <row r="65" spans="1:8">
      <c r="A65" s="126">
        <v>162</v>
      </c>
      <c r="B65" s="128" t="s">
        <v>153</v>
      </c>
      <c r="C65" s="129" t="s">
        <v>119</v>
      </c>
      <c r="D65" s="130">
        <v>67952</v>
      </c>
      <c r="E65" s="130">
        <v>66468</v>
      </c>
      <c r="F65" s="130">
        <v>40667</v>
      </c>
      <c r="G65" s="130">
        <v>22239</v>
      </c>
      <c r="H65" s="130">
        <v>13716</v>
      </c>
    </row>
    <row r="66" spans="1:8">
      <c r="A66" s="126">
        <v>163</v>
      </c>
      <c r="B66" s="128" t="s">
        <v>187</v>
      </c>
      <c r="C66" s="129" t="s">
        <v>119</v>
      </c>
      <c r="D66" s="130">
        <v>87575</v>
      </c>
      <c r="E66" s="130">
        <v>89227</v>
      </c>
      <c r="F66" s="130">
        <v>92102</v>
      </c>
      <c r="G66" s="130">
        <v>88489</v>
      </c>
      <c r="H66" s="130">
        <v>76169</v>
      </c>
    </row>
    <row r="67" spans="1:8">
      <c r="A67" s="126">
        <v>164</v>
      </c>
      <c r="B67" s="128" t="s">
        <v>56</v>
      </c>
      <c r="C67" s="129" t="s">
        <v>1</v>
      </c>
      <c r="D67" s="130">
        <v>133569</v>
      </c>
      <c r="E67" s="130">
        <v>166272</v>
      </c>
      <c r="F67" s="130">
        <v>125876</v>
      </c>
      <c r="G67" s="130">
        <v>129741</v>
      </c>
      <c r="H67" s="130">
        <v>143137</v>
      </c>
    </row>
    <row r="68" spans="1:8">
      <c r="A68" s="126">
        <v>165</v>
      </c>
      <c r="B68" s="128" t="s">
        <v>140</v>
      </c>
      <c r="C68" s="129" t="s">
        <v>1</v>
      </c>
      <c r="D68" s="130">
        <v>756597</v>
      </c>
      <c r="E68" s="130">
        <v>754238</v>
      </c>
      <c r="F68" s="130">
        <v>589511</v>
      </c>
      <c r="G68" s="130">
        <v>578408</v>
      </c>
      <c r="H68" s="130">
        <v>549221</v>
      </c>
    </row>
    <row r="69" spans="1:8">
      <c r="A69" s="126">
        <v>166</v>
      </c>
      <c r="B69" s="128" t="s">
        <v>181</v>
      </c>
      <c r="C69" s="129" t="s">
        <v>1</v>
      </c>
      <c r="D69" s="130">
        <v>92090</v>
      </c>
      <c r="E69" s="130">
        <v>24898</v>
      </c>
      <c r="F69" s="130">
        <v>105883</v>
      </c>
      <c r="G69" s="130">
        <v>31329</v>
      </c>
      <c r="H69" s="130">
        <v>51933</v>
      </c>
    </row>
    <row r="70" spans="1:8">
      <c r="A70" s="126">
        <v>167</v>
      </c>
      <c r="B70" s="128" t="s">
        <v>193</v>
      </c>
      <c r="C70" s="129" t="s">
        <v>1</v>
      </c>
      <c r="D70" s="130">
        <v>158257</v>
      </c>
      <c r="E70" s="130">
        <v>101147</v>
      </c>
      <c r="F70" s="130">
        <v>37391</v>
      </c>
      <c r="G70" s="130">
        <v>61692</v>
      </c>
      <c r="H70" s="130">
        <v>96041</v>
      </c>
    </row>
    <row r="71" spans="1:8">
      <c r="A71" s="126">
        <v>168</v>
      </c>
      <c r="B71" s="128" t="s">
        <v>200</v>
      </c>
      <c r="C71" s="129" t="s">
        <v>1</v>
      </c>
      <c r="D71" s="130">
        <v>0</v>
      </c>
      <c r="E71" s="130">
        <v>0</v>
      </c>
      <c r="F71" s="130">
        <v>0</v>
      </c>
      <c r="G71" s="130">
        <v>0</v>
      </c>
      <c r="H71" s="130">
        <v>60894</v>
      </c>
    </row>
    <row r="72" spans="1:8">
      <c r="A72" s="126">
        <v>169</v>
      </c>
      <c r="B72" s="128" t="s">
        <v>100</v>
      </c>
      <c r="C72" s="129" t="s">
        <v>1</v>
      </c>
      <c r="D72" s="130">
        <v>50555</v>
      </c>
      <c r="E72" s="130">
        <v>30430</v>
      </c>
      <c r="F72" s="130">
        <v>33933</v>
      </c>
      <c r="G72" s="130">
        <v>26953</v>
      </c>
      <c r="H72" s="130">
        <v>0</v>
      </c>
    </row>
    <row r="73" spans="1:8">
      <c r="A73" s="126">
        <v>170</v>
      </c>
      <c r="B73" s="128" t="s">
        <v>104</v>
      </c>
      <c r="C73" s="129" t="s">
        <v>1</v>
      </c>
      <c r="D73" s="130">
        <v>0</v>
      </c>
      <c r="E73" s="130">
        <v>0</v>
      </c>
      <c r="F73" s="130">
        <v>0</v>
      </c>
      <c r="G73" s="130">
        <v>0</v>
      </c>
      <c r="H73" s="130">
        <v>0</v>
      </c>
    </row>
    <row r="74" spans="1:8">
      <c r="A74" s="126">
        <v>171</v>
      </c>
      <c r="B74" s="128" t="s">
        <v>157</v>
      </c>
      <c r="C74" s="129" t="s">
        <v>1</v>
      </c>
      <c r="D74" s="130">
        <v>110840</v>
      </c>
      <c r="E74" s="130">
        <v>0</v>
      </c>
      <c r="F74" s="130">
        <v>0</v>
      </c>
      <c r="G74" s="130">
        <v>0</v>
      </c>
      <c r="H74" s="130">
        <v>0</v>
      </c>
    </row>
    <row r="75" spans="1:8">
      <c r="A75" s="126">
        <v>172</v>
      </c>
      <c r="B75" s="128" t="s">
        <v>50</v>
      </c>
      <c r="C75" s="129" t="s">
        <v>1</v>
      </c>
      <c r="D75" s="130">
        <v>1933097</v>
      </c>
      <c r="E75" s="130">
        <v>2141402</v>
      </c>
      <c r="F75" s="130">
        <v>2235270</v>
      </c>
      <c r="G75" s="130">
        <v>2114130</v>
      </c>
      <c r="H75" s="130">
        <v>1824932</v>
      </c>
    </row>
    <row r="76" spans="1:8">
      <c r="A76" s="126"/>
      <c r="B76" s="132"/>
      <c r="C76" s="132"/>
      <c r="D76" s="136"/>
      <c r="E76" s="136"/>
      <c r="F76" s="136"/>
      <c r="G76" s="136"/>
      <c r="H76" s="136"/>
    </row>
    <row r="77" spans="1:8">
      <c r="A77" s="126"/>
      <c r="B77" s="128" t="s">
        <v>44</v>
      </c>
      <c r="C77" s="128"/>
      <c r="D77" s="41"/>
      <c r="E77" s="41"/>
      <c r="F77" s="41"/>
      <c r="G77" s="41"/>
      <c r="H77" s="41"/>
    </row>
    <row r="78" spans="1:8">
      <c r="A78" s="126">
        <v>201</v>
      </c>
      <c r="B78" s="128" t="s">
        <v>145</v>
      </c>
      <c r="C78" s="129" t="s">
        <v>58</v>
      </c>
      <c r="D78" s="130">
        <v>38860</v>
      </c>
      <c r="E78" s="130">
        <v>39158</v>
      </c>
      <c r="F78" s="130">
        <v>41994</v>
      </c>
      <c r="G78" s="130">
        <v>46026</v>
      </c>
      <c r="H78" s="130">
        <v>41430</v>
      </c>
    </row>
    <row r="79" spans="1:8">
      <c r="A79" s="126">
        <v>202</v>
      </c>
      <c r="B79" s="128" t="s">
        <v>10</v>
      </c>
      <c r="C79" s="129" t="s">
        <v>58</v>
      </c>
      <c r="D79" s="130">
        <v>0</v>
      </c>
      <c r="E79" s="130">
        <v>0</v>
      </c>
      <c r="F79" s="130">
        <v>0</v>
      </c>
      <c r="G79" s="130">
        <v>0</v>
      </c>
      <c r="H79" s="130">
        <v>0</v>
      </c>
    </row>
    <row r="80" spans="1:8">
      <c r="A80" s="126">
        <v>203</v>
      </c>
      <c r="B80" s="128" t="s">
        <v>173</v>
      </c>
      <c r="C80" s="129" t="s">
        <v>58</v>
      </c>
      <c r="D80" s="130">
        <v>161950</v>
      </c>
      <c r="E80" s="130">
        <v>179244</v>
      </c>
      <c r="F80" s="130">
        <v>142174</v>
      </c>
      <c r="G80" s="130">
        <v>164778</v>
      </c>
      <c r="H80" s="130">
        <v>166412</v>
      </c>
    </row>
    <row r="81" spans="1:8">
      <c r="A81" s="126">
        <v>204</v>
      </c>
      <c r="B81" s="128" t="s">
        <v>139</v>
      </c>
      <c r="C81" s="129" t="s">
        <v>58</v>
      </c>
      <c r="D81" s="130">
        <v>112684</v>
      </c>
      <c r="E81" s="130">
        <v>116716</v>
      </c>
      <c r="F81" s="130">
        <v>120658</v>
      </c>
      <c r="G81" s="130">
        <v>126069</v>
      </c>
      <c r="H81" s="130">
        <v>125319</v>
      </c>
    </row>
    <row r="82" spans="1:8">
      <c r="A82" s="126">
        <v>205</v>
      </c>
      <c r="B82" s="128" t="s">
        <v>118</v>
      </c>
      <c r="C82" s="129" t="s">
        <v>58</v>
      </c>
      <c r="D82" s="130">
        <v>336139</v>
      </c>
      <c r="E82" s="130">
        <v>348811</v>
      </c>
      <c r="F82" s="130">
        <v>359515</v>
      </c>
      <c r="G82" s="130">
        <v>374842</v>
      </c>
      <c r="H82" s="130">
        <v>384367</v>
      </c>
    </row>
    <row r="83" spans="1:8">
      <c r="A83" s="126">
        <v>206</v>
      </c>
      <c r="B83" s="128" t="s">
        <v>16</v>
      </c>
      <c r="C83" s="129" t="s">
        <v>58</v>
      </c>
      <c r="D83" s="130">
        <v>79894</v>
      </c>
      <c r="E83" s="130">
        <v>77207</v>
      </c>
      <c r="F83" s="130">
        <v>79975</v>
      </c>
      <c r="G83" s="130">
        <v>83208</v>
      </c>
      <c r="H83" s="130">
        <v>96256</v>
      </c>
    </row>
    <row r="84" spans="1:8">
      <c r="A84" s="126">
        <v>207</v>
      </c>
      <c r="B84" s="128" t="s">
        <v>21</v>
      </c>
      <c r="C84" s="129" t="s">
        <v>58</v>
      </c>
      <c r="D84" s="130">
        <v>122154</v>
      </c>
      <c r="E84" s="130">
        <v>89400</v>
      </c>
      <c r="F84" s="130">
        <v>148347</v>
      </c>
      <c r="G84" s="130">
        <v>44490</v>
      </c>
      <c r="H84" s="130">
        <v>108993</v>
      </c>
    </row>
    <row r="85" spans="1:8">
      <c r="A85" s="126">
        <v>208</v>
      </c>
      <c r="B85" s="128" t="s">
        <v>72</v>
      </c>
      <c r="C85" s="129" t="s">
        <v>58</v>
      </c>
      <c r="D85" s="130">
        <v>251795</v>
      </c>
      <c r="E85" s="130">
        <v>246236</v>
      </c>
      <c r="F85" s="130">
        <v>283113</v>
      </c>
      <c r="G85" s="130">
        <v>309128</v>
      </c>
      <c r="H85" s="130">
        <v>373604</v>
      </c>
    </row>
    <row r="86" spans="1:8">
      <c r="A86" s="126">
        <v>209</v>
      </c>
      <c r="B86" s="128" t="s">
        <v>143</v>
      </c>
      <c r="C86" s="129" t="s">
        <v>58</v>
      </c>
      <c r="D86" s="130">
        <v>0</v>
      </c>
      <c r="E86" s="130">
        <v>0</v>
      </c>
      <c r="F86" s="130">
        <v>0</v>
      </c>
      <c r="G86" s="130">
        <v>0</v>
      </c>
      <c r="H86" s="130">
        <v>0</v>
      </c>
    </row>
    <row r="87" spans="1:8">
      <c r="A87" s="126">
        <v>210</v>
      </c>
      <c r="B87" s="128" t="s">
        <v>28</v>
      </c>
      <c r="C87" s="129" t="s">
        <v>38</v>
      </c>
      <c r="D87" s="130">
        <v>387472</v>
      </c>
      <c r="E87" s="130">
        <v>413909</v>
      </c>
      <c r="F87" s="130">
        <v>406278</v>
      </c>
      <c r="G87" s="130">
        <v>467444</v>
      </c>
      <c r="H87" s="130">
        <v>445264</v>
      </c>
    </row>
    <row r="88" spans="1:8">
      <c r="A88" s="126">
        <v>211</v>
      </c>
      <c r="B88" s="128" t="s">
        <v>65</v>
      </c>
      <c r="C88" s="129" t="s">
        <v>61</v>
      </c>
      <c r="D88" s="130">
        <v>5539050</v>
      </c>
      <c r="E88" s="130">
        <v>5446072</v>
      </c>
      <c r="F88" s="130">
        <v>5553793</v>
      </c>
      <c r="G88" s="130">
        <v>5603331</v>
      </c>
      <c r="H88" s="130">
        <v>5547223</v>
      </c>
    </row>
    <row r="89" spans="1:8">
      <c r="A89" s="126">
        <v>212</v>
      </c>
      <c r="B89" s="128" t="s">
        <v>185</v>
      </c>
      <c r="C89" s="129" t="s">
        <v>61</v>
      </c>
      <c r="D89" s="130">
        <v>1383110</v>
      </c>
      <c r="E89" s="130">
        <v>1440504</v>
      </c>
      <c r="F89" s="130">
        <v>1362857</v>
      </c>
      <c r="G89" s="130">
        <v>1476384</v>
      </c>
      <c r="H89" s="130">
        <v>1483207</v>
      </c>
    </row>
    <row r="90" spans="1:8">
      <c r="A90" s="126">
        <v>213</v>
      </c>
      <c r="B90" s="128" t="s">
        <v>96</v>
      </c>
      <c r="C90" s="129" t="s">
        <v>61</v>
      </c>
      <c r="D90" s="130">
        <v>0</v>
      </c>
      <c r="E90" s="130">
        <v>0</v>
      </c>
      <c r="F90" s="130">
        <v>0</v>
      </c>
      <c r="G90" s="130">
        <v>0</v>
      </c>
      <c r="H90" s="130">
        <v>0</v>
      </c>
    </row>
    <row r="91" spans="1:8">
      <c r="A91" s="126">
        <v>214</v>
      </c>
      <c r="B91" s="128" t="s">
        <v>170</v>
      </c>
      <c r="C91" s="129" t="s">
        <v>61</v>
      </c>
      <c r="D91" s="130">
        <v>0</v>
      </c>
      <c r="E91" s="130">
        <v>0</v>
      </c>
      <c r="F91" s="130">
        <v>0</v>
      </c>
      <c r="G91" s="130">
        <v>0</v>
      </c>
      <c r="H91" s="130">
        <v>0</v>
      </c>
    </row>
    <row r="92" spans="1:8">
      <c r="A92" s="126">
        <v>215</v>
      </c>
      <c r="B92" s="128" t="s">
        <v>24</v>
      </c>
      <c r="C92" s="129" t="s">
        <v>61</v>
      </c>
      <c r="D92" s="130">
        <v>0</v>
      </c>
      <c r="E92" s="130">
        <v>0</v>
      </c>
      <c r="F92" s="130">
        <v>0</v>
      </c>
      <c r="G92" s="130">
        <v>0</v>
      </c>
      <c r="H92" s="130">
        <v>0</v>
      </c>
    </row>
    <row r="93" spans="1:8">
      <c r="A93" s="126">
        <v>216</v>
      </c>
      <c r="B93" s="128" t="s">
        <v>178</v>
      </c>
      <c r="C93" s="129" t="s">
        <v>125</v>
      </c>
      <c r="D93" s="130">
        <v>458085</v>
      </c>
      <c r="E93" s="130">
        <v>464058</v>
      </c>
      <c r="F93" s="130">
        <v>462289</v>
      </c>
      <c r="G93" s="130">
        <v>443913</v>
      </c>
      <c r="H93" s="130">
        <v>514947</v>
      </c>
    </row>
    <row r="94" spans="1:8">
      <c r="A94" s="126">
        <v>217</v>
      </c>
      <c r="B94" s="128" t="s">
        <v>45</v>
      </c>
      <c r="C94" s="129" t="s">
        <v>125</v>
      </c>
      <c r="D94" s="130">
        <v>32215</v>
      </c>
      <c r="E94" s="130">
        <v>35113</v>
      </c>
      <c r="F94" s="130">
        <v>35722</v>
      </c>
      <c r="G94" s="130">
        <v>27975</v>
      </c>
      <c r="H94" s="130">
        <v>21926</v>
      </c>
    </row>
    <row r="95" spans="1:8">
      <c r="A95" s="126">
        <v>218</v>
      </c>
      <c r="B95" s="128" t="s">
        <v>155</v>
      </c>
      <c r="C95" s="129" t="s">
        <v>46</v>
      </c>
      <c r="D95" s="130">
        <v>1452254</v>
      </c>
      <c r="E95" s="130">
        <v>1433235</v>
      </c>
      <c r="F95" s="130">
        <v>950564</v>
      </c>
      <c r="G95" s="130">
        <v>1038148</v>
      </c>
      <c r="H95" s="130">
        <v>1060934</v>
      </c>
    </row>
    <row r="96" spans="1:8">
      <c r="A96" s="126">
        <v>219</v>
      </c>
      <c r="B96" s="128" t="s">
        <v>166</v>
      </c>
      <c r="C96" s="129" t="s">
        <v>175</v>
      </c>
      <c r="D96" s="130">
        <v>7138</v>
      </c>
      <c r="E96" s="130">
        <v>35254</v>
      </c>
      <c r="F96" s="130">
        <v>65493</v>
      </c>
      <c r="G96" s="130">
        <v>44824</v>
      </c>
      <c r="H96" s="130">
        <v>74968</v>
      </c>
    </row>
    <row r="97" spans="1:8">
      <c r="A97" s="126">
        <v>220</v>
      </c>
      <c r="B97" s="128" t="s">
        <v>62</v>
      </c>
      <c r="C97" s="129" t="s">
        <v>46</v>
      </c>
      <c r="D97" s="130">
        <v>1504878</v>
      </c>
      <c r="E97" s="130">
        <v>1491289</v>
      </c>
      <c r="F97" s="130">
        <v>1539209</v>
      </c>
      <c r="G97" s="130">
        <v>1699711</v>
      </c>
      <c r="H97" s="130">
        <v>1651702</v>
      </c>
    </row>
    <row r="98" spans="1:8">
      <c r="A98" s="126">
        <v>221</v>
      </c>
      <c r="B98" s="128" t="s">
        <v>80</v>
      </c>
      <c r="C98" s="129" t="s">
        <v>46</v>
      </c>
      <c r="D98" s="130">
        <v>0</v>
      </c>
      <c r="E98" s="130">
        <v>0</v>
      </c>
      <c r="F98" s="130">
        <v>0</v>
      </c>
      <c r="G98" s="130">
        <v>0</v>
      </c>
      <c r="H98" s="130">
        <v>0</v>
      </c>
    </row>
    <row r="99" spans="1:8">
      <c r="A99" s="126">
        <v>222</v>
      </c>
      <c r="B99" s="128" t="s">
        <v>184</v>
      </c>
      <c r="C99" s="129" t="s">
        <v>46</v>
      </c>
      <c r="D99" s="130">
        <v>0</v>
      </c>
      <c r="E99" s="130">
        <v>0</v>
      </c>
      <c r="F99" s="130">
        <v>0</v>
      </c>
      <c r="G99" s="130">
        <v>0</v>
      </c>
      <c r="H99" s="130">
        <v>0</v>
      </c>
    </row>
    <row r="100" spans="1:8">
      <c r="A100" s="126">
        <v>223</v>
      </c>
      <c r="B100" s="128" t="s">
        <v>154</v>
      </c>
      <c r="C100" s="129" t="s">
        <v>46</v>
      </c>
      <c r="D100" s="130">
        <v>0</v>
      </c>
      <c r="E100" s="130">
        <v>0</v>
      </c>
      <c r="F100" s="130">
        <v>0</v>
      </c>
      <c r="G100" s="130">
        <v>0</v>
      </c>
      <c r="H100" s="130">
        <v>0</v>
      </c>
    </row>
    <row r="101" spans="1:8">
      <c r="A101" s="126">
        <v>224</v>
      </c>
      <c r="B101" s="128" t="s">
        <v>156</v>
      </c>
      <c r="C101" s="129" t="s">
        <v>46</v>
      </c>
      <c r="D101" s="130">
        <v>0</v>
      </c>
      <c r="E101" s="130">
        <v>0</v>
      </c>
      <c r="F101" s="130">
        <v>0</v>
      </c>
      <c r="G101" s="130">
        <v>0</v>
      </c>
      <c r="H101" s="130">
        <v>0</v>
      </c>
    </row>
    <row r="102" spans="1:8">
      <c r="A102" s="126">
        <v>225</v>
      </c>
      <c r="B102" s="128" t="s">
        <v>189</v>
      </c>
      <c r="C102" s="129" t="s">
        <v>46</v>
      </c>
      <c r="D102" s="130">
        <v>0</v>
      </c>
      <c r="E102" s="130">
        <v>0</v>
      </c>
      <c r="F102" s="130">
        <v>0</v>
      </c>
      <c r="G102" s="130">
        <v>0</v>
      </c>
      <c r="H102" s="130">
        <v>0</v>
      </c>
    </row>
    <row r="103" spans="1:8">
      <c r="A103" s="126">
        <v>226</v>
      </c>
      <c r="B103" s="128" t="s">
        <v>8</v>
      </c>
      <c r="C103" s="129" t="s">
        <v>46</v>
      </c>
      <c r="D103" s="130">
        <v>0</v>
      </c>
      <c r="E103" s="130">
        <v>0</v>
      </c>
      <c r="F103" s="130">
        <v>0</v>
      </c>
      <c r="G103" s="130">
        <v>0</v>
      </c>
      <c r="H103" s="130">
        <v>0</v>
      </c>
    </row>
    <row r="104" spans="1:8">
      <c r="A104" s="126">
        <v>227</v>
      </c>
      <c r="B104" s="128" t="s">
        <v>14</v>
      </c>
      <c r="C104" s="129" t="s">
        <v>9</v>
      </c>
      <c r="D104" s="130">
        <v>0</v>
      </c>
      <c r="E104" s="130">
        <v>0</v>
      </c>
      <c r="F104" s="130">
        <v>0</v>
      </c>
      <c r="G104" s="130">
        <v>0</v>
      </c>
      <c r="H104" s="130">
        <v>0</v>
      </c>
    </row>
    <row r="105" spans="1:8">
      <c r="A105" s="126">
        <v>228</v>
      </c>
      <c r="B105" s="128" t="s">
        <v>97</v>
      </c>
      <c r="C105" s="129" t="s">
        <v>9</v>
      </c>
      <c r="D105" s="130">
        <v>0</v>
      </c>
      <c r="E105" s="130">
        <v>0</v>
      </c>
      <c r="F105" s="130">
        <v>0</v>
      </c>
      <c r="G105" s="130">
        <v>0</v>
      </c>
      <c r="H105" s="130">
        <v>0</v>
      </c>
    </row>
    <row r="106" spans="1:8">
      <c r="A106" s="126">
        <v>229</v>
      </c>
      <c r="B106" s="128" t="s">
        <v>103</v>
      </c>
      <c r="C106" s="129" t="s">
        <v>9</v>
      </c>
      <c r="D106" s="130">
        <v>0</v>
      </c>
      <c r="E106" s="130">
        <v>0</v>
      </c>
      <c r="F106" s="130">
        <v>0</v>
      </c>
      <c r="G106" s="130">
        <v>0</v>
      </c>
      <c r="H106" s="130">
        <v>0</v>
      </c>
    </row>
    <row r="107" spans="1:8">
      <c r="A107" s="126">
        <v>230</v>
      </c>
      <c r="B107" s="128" t="s">
        <v>69</v>
      </c>
      <c r="C107" s="129" t="s">
        <v>9</v>
      </c>
      <c r="D107" s="130">
        <v>0</v>
      </c>
      <c r="E107" s="130">
        <v>0</v>
      </c>
      <c r="F107" s="130">
        <v>0</v>
      </c>
      <c r="G107" s="130">
        <v>0</v>
      </c>
      <c r="H107" s="130">
        <v>0</v>
      </c>
    </row>
    <row r="108" spans="1:8">
      <c r="A108" s="126">
        <v>231</v>
      </c>
      <c r="B108" s="128" t="s">
        <v>137</v>
      </c>
      <c r="C108" s="129" t="s">
        <v>9</v>
      </c>
      <c r="D108" s="130">
        <v>0</v>
      </c>
      <c r="E108" s="130">
        <v>0</v>
      </c>
      <c r="F108" s="130">
        <v>0</v>
      </c>
      <c r="G108" s="130">
        <v>0</v>
      </c>
      <c r="H108" s="130">
        <v>0</v>
      </c>
    </row>
    <row r="109" spans="1:8">
      <c r="A109" s="126">
        <v>232</v>
      </c>
      <c r="B109" s="128" t="s">
        <v>20</v>
      </c>
      <c r="C109" s="129" t="s">
        <v>9</v>
      </c>
      <c r="D109" s="130">
        <v>0</v>
      </c>
      <c r="E109" s="130">
        <v>0</v>
      </c>
      <c r="F109" s="130">
        <v>0</v>
      </c>
      <c r="G109" s="130">
        <v>0</v>
      </c>
      <c r="H109" s="130">
        <v>0</v>
      </c>
    </row>
    <row r="110" spans="1:8">
      <c r="A110" s="126">
        <v>233</v>
      </c>
      <c r="B110" s="128" t="s">
        <v>64</v>
      </c>
      <c r="C110" s="129" t="s">
        <v>9</v>
      </c>
      <c r="D110" s="130">
        <v>0</v>
      </c>
      <c r="E110" s="130">
        <v>0</v>
      </c>
      <c r="F110" s="130">
        <v>0</v>
      </c>
      <c r="G110" s="130">
        <v>0</v>
      </c>
      <c r="H110" s="130">
        <v>0</v>
      </c>
    </row>
    <row r="111" spans="1:8">
      <c r="A111" s="126">
        <v>234</v>
      </c>
      <c r="B111" s="128" t="s">
        <v>159</v>
      </c>
      <c r="C111" s="129" t="s">
        <v>9</v>
      </c>
      <c r="D111" s="130">
        <v>0</v>
      </c>
      <c r="E111" s="130">
        <v>0</v>
      </c>
      <c r="F111" s="130">
        <v>0</v>
      </c>
      <c r="G111" s="130">
        <v>0</v>
      </c>
      <c r="H111" s="130">
        <v>0</v>
      </c>
    </row>
    <row r="112" spans="1:8">
      <c r="A112" s="126">
        <v>235</v>
      </c>
      <c r="B112" s="128" t="s">
        <v>205</v>
      </c>
      <c r="C112" s="129" t="s">
        <v>9</v>
      </c>
      <c r="D112" s="130">
        <v>0</v>
      </c>
      <c r="E112" s="130">
        <v>0</v>
      </c>
      <c r="F112" s="130">
        <v>0</v>
      </c>
      <c r="G112" s="130">
        <v>0</v>
      </c>
      <c r="H112" s="130">
        <v>0</v>
      </c>
    </row>
    <row r="113" spans="1:8">
      <c r="A113" s="126">
        <v>236</v>
      </c>
      <c r="B113" s="128" t="s">
        <v>146</v>
      </c>
      <c r="C113" s="129" t="s">
        <v>9</v>
      </c>
      <c r="D113" s="130">
        <v>0</v>
      </c>
      <c r="E113" s="130">
        <v>0</v>
      </c>
      <c r="F113" s="130">
        <v>0</v>
      </c>
      <c r="G113" s="130">
        <v>0</v>
      </c>
      <c r="H113" s="130">
        <v>0</v>
      </c>
    </row>
    <row r="114" spans="1:8">
      <c r="A114" s="126">
        <v>237</v>
      </c>
      <c r="B114" s="128" t="s">
        <v>53</v>
      </c>
      <c r="C114" s="129" t="s">
        <v>9</v>
      </c>
      <c r="D114" s="130">
        <v>0</v>
      </c>
      <c r="E114" s="130">
        <v>0</v>
      </c>
      <c r="F114" s="130">
        <v>0</v>
      </c>
      <c r="G114" s="130">
        <v>0</v>
      </c>
      <c r="H114" s="130">
        <v>0</v>
      </c>
    </row>
    <row r="115" spans="1:8" ht="28.8">
      <c r="A115" s="126">
        <v>238</v>
      </c>
      <c r="B115" s="128" t="s">
        <v>36</v>
      </c>
      <c r="C115" s="129" t="s">
        <v>204</v>
      </c>
      <c r="D115" s="130">
        <v>0</v>
      </c>
      <c r="E115" s="130">
        <v>0</v>
      </c>
      <c r="F115" s="130">
        <v>0</v>
      </c>
      <c r="G115" s="130">
        <v>0</v>
      </c>
      <c r="H115" s="130">
        <v>0</v>
      </c>
    </row>
    <row r="116" spans="1:8" ht="28.8">
      <c r="A116" s="126">
        <v>239</v>
      </c>
      <c r="B116" s="128" t="s">
        <v>179</v>
      </c>
      <c r="C116" s="129" t="s">
        <v>204</v>
      </c>
      <c r="D116" s="130">
        <v>362492</v>
      </c>
      <c r="E116" s="130">
        <v>262495</v>
      </c>
      <c r="F116" s="130">
        <v>303858</v>
      </c>
      <c r="G116" s="130">
        <v>313899</v>
      </c>
      <c r="H116" s="130">
        <v>363918</v>
      </c>
    </row>
    <row r="117" spans="1:8" ht="28.8">
      <c r="A117" s="126">
        <v>240</v>
      </c>
      <c r="B117" s="128" t="s">
        <v>134</v>
      </c>
      <c r="C117" s="129" t="s">
        <v>204</v>
      </c>
      <c r="D117" s="130">
        <v>0</v>
      </c>
      <c r="E117" s="130">
        <v>0</v>
      </c>
      <c r="F117" s="130">
        <v>0</v>
      </c>
      <c r="G117" s="130">
        <v>0</v>
      </c>
      <c r="H117" s="130">
        <v>0</v>
      </c>
    </row>
    <row r="118" spans="1:8" ht="28.8">
      <c r="A118" s="126">
        <v>241</v>
      </c>
      <c r="B118" s="128" t="s">
        <v>93</v>
      </c>
      <c r="C118" s="129" t="s">
        <v>204</v>
      </c>
      <c r="D118" s="130">
        <v>0</v>
      </c>
      <c r="E118" s="130">
        <v>0</v>
      </c>
      <c r="F118" s="130">
        <v>0</v>
      </c>
      <c r="G118" s="130">
        <v>0</v>
      </c>
      <c r="H118" s="130">
        <v>0</v>
      </c>
    </row>
    <row r="119" spans="1:8">
      <c r="A119" s="126">
        <v>242</v>
      </c>
      <c r="B119" s="128" t="s">
        <v>147</v>
      </c>
      <c r="C119" s="129" t="s">
        <v>165</v>
      </c>
      <c r="D119" s="130">
        <v>834811</v>
      </c>
      <c r="E119" s="130">
        <v>902766</v>
      </c>
      <c r="F119" s="130">
        <v>993504</v>
      </c>
      <c r="G119" s="130">
        <v>901256</v>
      </c>
      <c r="H119" s="130">
        <v>915891</v>
      </c>
    </row>
    <row r="120" spans="1:8">
      <c r="A120" s="126">
        <v>243</v>
      </c>
      <c r="B120" s="128" t="s">
        <v>48</v>
      </c>
      <c r="C120" s="129" t="s">
        <v>165</v>
      </c>
      <c r="D120" s="130">
        <v>768484</v>
      </c>
      <c r="E120" s="130">
        <v>782882</v>
      </c>
      <c r="F120" s="130">
        <v>789908</v>
      </c>
      <c r="G120" s="130">
        <v>811567</v>
      </c>
      <c r="H120" s="130">
        <v>857329</v>
      </c>
    </row>
    <row r="121" spans="1:8">
      <c r="A121" s="126">
        <v>244</v>
      </c>
      <c r="B121" s="128" t="s">
        <v>15</v>
      </c>
      <c r="C121" s="129" t="s">
        <v>165</v>
      </c>
      <c r="D121" s="130">
        <v>7397</v>
      </c>
      <c r="E121" s="130">
        <v>6178</v>
      </c>
      <c r="F121" s="130">
        <v>6295</v>
      </c>
      <c r="G121" s="130">
        <v>6743</v>
      </c>
      <c r="H121" s="130">
        <v>6800</v>
      </c>
    </row>
    <row r="122" spans="1:8" ht="28.8">
      <c r="A122" s="126">
        <v>245</v>
      </c>
      <c r="B122" s="128" t="s">
        <v>142</v>
      </c>
      <c r="C122" s="129" t="s">
        <v>128</v>
      </c>
      <c r="D122" s="130">
        <v>1148803</v>
      </c>
      <c r="E122" s="130">
        <v>1034368</v>
      </c>
      <c r="F122" s="130">
        <v>1069048</v>
      </c>
      <c r="G122" s="130">
        <v>1090473</v>
      </c>
      <c r="H122" s="130">
        <v>1144682</v>
      </c>
    </row>
    <row r="123" spans="1:8">
      <c r="A123" s="126">
        <v>246</v>
      </c>
      <c r="B123" s="128" t="s">
        <v>177</v>
      </c>
      <c r="C123" s="129" t="s">
        <v>110</v>
      </c>
      <c r="D123" s="130">
        <v>323925</v>
      </c>
      <c r="E123" s="130">
        <v>386186</v>
      </c>
      <c r="F123" s="130">
        <v>1680087</v>
      </c>
      <c r="G123" s="130">
        <v>948906</v>
      </c>
      <c r="H123" s="130">
        <v>409458</v>
      </c>
    </row>
    <row r="124" spans="1:8">
      <c r="A124" s="126">
        <v>247</v>
      </c>
      <c r="B124" s="128" t="s">
        <v>111</v>
      </c>
      <c r="C124" s="129" t="s">
        <v>167</v>
      </c>
      <c r="D124" s="130">
        <v>12269</v>
      </c>
      <c r="E124" s="130">
        <v>12771</v>
      </c>
      <c r="F124" s="130">
        <v>0</v>
      </c>
      <c r="G124" s="130">
        <v>0</v>
      </c>
      <c r="H124" s="130">
        <v>0</v>
      </c>
    </row>
    <row r="125" spans="1:8">
      <c r="A125" s="126">
        <v>248</v>
      </c>
      <c r="B125" s="128" t="s">
        <v>82</v>
      </c>
      <c r="C125" s="129" t="s">
        <v>128</v>
      </c>
      <c r="D125" s="130">
        <v>1714358</v>
      </c>
      <c r="E125" s="130">
        <v>1927570</v>
      </c>
      <c r="F125" s="130">
        <v>2017270</v>
      </c>
      <c r="G125" s="130">
        <v>1884274</v>
      </c>
      <c r="H125" s="130">
        <v>1583353</v>
      </c>
    </row>
    <row r="126" spans="1:8">
      <c r="A126" s="126">
        <v>249</v>
      </c>
      <c r="B126" s="128" t="s">
        <v>157</v>
      </c>
      <c r="C126" s="129" t="s">
        <v>128</v>
      </c>
      <c r="D126" s="130">
        <v>7025</v>
      </c>
      <c r="E126" s="130">
        <v>7039</v>
      </c>
      <c r="F126" s="130">
        <v>7149</v>
      </c>
      <c r="G126" s="130">
        <v>7271</v>
      </c>
      <c r="H126" s="130">
        <v>7119</v>
      </c>
    </row>
    <row r="127" spans="1:8">
      <c r="A127" s="126"/>
      <c r="B127" s="132"/>
      <c r="C127" s="128"/>
      <c r="D127" s="136"/>
      <c r="E127" s="136"/>
      <c r="F127" s="136"/>
      <c r="G127" s="136"/>
      <c r="H127" s="136"/>
    </row>
    <row r="128" spans="1:8">
      <c r="A128" s="126"/>
      <c r="B128" s="128"/>
      <c r="C128" s="128"/>
      <c r="D128" s="136"/>
      <c r="E128" s="136"/>
      <c r="F128" s="136"/>
      <c r="G128" s="136"/>
      <c r="H128" s="136"/>
    </row>
    <row r="129" spans="1:8">
      <c r="A129" s="126"/>
      <c r="B129" s="132" t="s">
        <v>33</v>
      </c>
      <c r="C129" s="128"/>
      <c r="D129" s="136"/>
      <c r="E129" s="136"/>
      <c r="F129" s="136"/>
      <c r="G129" s="136"/>
      <c r="H129" s="136"/>
    </row>
    <row r="130" spans="1:8">
      <c r="A130" s="126">
        <v>531</v>
      </c>
      <c r="B130" s="128" t="s">
        <v>51</v>
      </c>
      <c r="C130" s="128" t="s">
        <v>51</v>
      </c>
      <c r="D130" s="131">
        <v>400644</v>
      </c>
      <c r="E130" s="131">
        <v>370992</v>
      </c>
      <c r="F130" s="131">
        <v>411928</v>
      </c>
      <c r="G130" s="131">
        <v>377249</v>
      </c>
      <c r="H130" s="131"/>
    </row>
    <row r="131" spans="1:8">
      <c r="A131" s="126">
        <v>532</v>
      </c>
      <c r="B131" s="128" t="s">
        <v>127</v>
      </c>
      <c r="C131" s="128" t="s">
        <v>127</v>
      </c>
      <c r="D131" s="131">
        <v>0</v>
      </c>
      <c r="E131" s="131">
        <v>7450832</v>
      </c>
      <c r="F131" s="131">
        <v>5155039</v>
      </c>
      <c r="G131" s="131">
        <v>4066214</v>
      </c>
      <c r="H131" s="131"/>
    </row>
    <row r="132" spans="1:8">
      <c r="A132" s="126">
        <v>533</v>
      </c>
      <c r="B132" s="128" t="s">
        <v>23</v>
      </c>
      <c r="C132" s="128" t="s">
        <v>23</v>
      </c>
      <c r="D132" s="131">
        <v>12313218</v>
      </c>
      <c r="E132" s="131">
        <v>0</v>
      </c>
      <c r="F132" s="131">
        <v>0</v>
      </c>
      <c r="G132" s="131">
        <v>0</v>
      </c>
      <c r="H132" s="131"/>
    </row>
    <row r="133" spans="1:8">
      <c r="A133" s="126">
        <v>534</v>
      </c>
      <c r="B133" s="128" t="s">
        <v>136</v>
      </c>
      <c r="C133" s="128" t="s">
        <v>136</v>
      </c>
      <c r="D133" s="131"/>
      <c r="E133" s="131">
        <v>124714</v>
      </c>
      <c r="F133" s="131">
        <v>129398</v>
      </c>
      <c r="G133" s="131">
        <v>166736</v>
      </c>
      <c r="H133" s="131"/>
    </row>
    <row r="134" spans="1:8">
      <c r="A134" s="126">
        <v>535</v>
      </c>
      <c r="B134" s="128" t="s">
        <v>197</v>
      </c>
      <c r="C134" s="128" t="s">
        <v>197</v>
      </c>
      <c r="D134" s="131"/>
      <c r="E134" s="131">
        <v>4673788</v>
      </c>
      <c r="F134" s="131">
        <v>5151361</v>
      </c>
      <c r="G134" s="131">
        <v>5089006</v>
      </c>
      <c r="H134" s="131"/>
    </row>
    <row r="135" spans="1:8">
      <c r="A135" s="126"/>
      <c r="B135" s="132"/>
      <c r="C135" s="132"/>
      <c r="D135" s="136"/>
      <c r="E135" s="136"/>
      <c r="F135" s="136"/>
      <c r="G135" s="136"/>
      <c r="H135" s="136"/>
    </row>
    <row r="138" spans="1:8">
      <c r="A138" s="31" t="s">
        <v>158</v>
      </c>
    </row>
    <row r="139" spans="1:8">
      <c r="A139" s="31" t="s">
        <v>152</v>
      </c>
    </row>
  </sheetData>
  <sheetProtection sheet="1"/>
  <conditionalFormatting sqref="D130:H134 D4:H75 D78:H126">
    <cfRule type="expression" dxfId="0" priority="1" stopIfTrue="1">
      <formula>LEN(TRIM(D4))=0</formula>
    </cfRule>
  </conditionalFormatting>
  <printOptions horizontalCentered="1"/>
  <pageMargins left="0.2" right="0.2" top="0.5" bottom="0.5" header="0.25" footer="0.25"/>
  <pageSetup fitToHeight="2" orientation="landscape"/>
  <headerFooter alignWithMargins="0">
    <oddFooter>&amp;L&amp;"Calibri,Bold"CITIZEN'S GUIDE TO LOCAL UNIT FINANCES&amp;R&amp;"Calibri,Bold"&amp;A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Data Input</vt:lpstr>
      <vt:lpstr>Revenues</vt:lpstr>
      <vt:lpstr>Expenditures</vt:lpstr>
      <vt:lpstr>Position</vt:lpstr>
      <vt:lpstr>Obligations</vt:lpstr>
      <vt:lpstr>F-65 Cross-walk</vt:lpstr>
      <vt:lpstr>'Data Input'!Print_Area</vt:lpstr>
      <vt:lpstr>Expenditures!Print_Area</vt:lpstr>
      <vt:lpstr>'F-65 Cross-walk'!Print_Area</vt:lpstr>
      <vt:lpstr>Obligations!Print_Area</vt:lpstr>
      <vt:lpstr>Position!Print_Area</vt:lpstr>
      <vt:lpstr>Revenues!Print_Area</vt:lpstr>
      <vt:lpstr>'Data Input'!Print_Titles</vt:lpstr>
      <vt:lpstr>'F-65 Cross-walk'!Print_Titles</vt:lpstr>
    </vt:vector>
  </TitlesOfParts>
  <Company>Plante &amp; Moran, PLLC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 Lappi</dc:creator>
  <cp:lastModifiedBy>Mgadd</cp:lastModifiedBy>
  <cp:lastPrinted>2017-11-15T16:48:03Z</cp:lastPrinted>
  <dcterms:created xsi:type="dcterms:W3CDTF">2011-01-04T15:16:36Z</dcterms:created>
  <dcterms:modified xsi:type="dcterms:W3CDTF">2017-11-27T16:32:26Z</dcterms:modified>
</cp:coreProperties>
</file>